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recup data\Documents\Fanny PRO\Common documents\2_CHEMINS\L'Abo\Docs Fanny en bordel\"/>
    </mc:Choice>
  </mc:AlternateContent>
  <xr:revisionPtr revIDLastSave="0" documentId="13_ncr:1_{73378E4E-7217-4ABE-AD82-DE439CCF9D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ypothèses" sheetId="10" r:id="rId1"/>
    <sheet name="Calculs €" sheetId="2" state="hidden" r:id="rId2"/>
    <sheet name="Simul com' distrib" sheetId="15" state="hidden" r:id="rId3"/>
    <sheet name="Calculs CO2" sheetId="12" state="hidden" r:id="rId4"/>
  </sheets>
  <calcPr calcId="191029" calcOnSave="0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0" l="1"/>
  <c r="B17" i="10" s="1"/>
  <c r="B47" i="10" s="1"/>
  <c r="C45" i="10"/>
  <c r="C44" i="10"/>
  <c r="B16" i="12"/>
  <c r="C16" i="12"/>
  <c r="D5" i="12"/>
  <c r="B45" i="10"/>
  <c r="J7" i="2"/>
  <c r="J6" i="2"/>
  <c r="D9" i="2"/>
  <c r="C9" i="2"/>
  <c r="D8" i="2"/>
  <c r="C8" i="2"/>
  <c r="C5" i="15"/>
  <c r="C10" i="15"/>
  <c r="B5" i="12"/>
  <c r="C13" i="2"/>
  <c r="D12" i="2"/>
  <c r="D11" i="2"/>
  <c r="C12" i="2"/>
  <c r="C11" i="2"/>
  <c r="D7" i="2"/>
  <c r="C7" i="2"/>
  <c r="B8" i="10"/>
  <c r="D10" i="12" s="1"/>
  <c r="C46" i="10"/>
  <c r="D13" i="2" s="1"/>
  <c r="C41" i="10"/>
  <c r="D10" i="2" s="1"/>
  <c r="B41" i="10"/>
  <c r="C10" i="2" s="1"/>
  <c r="C15" i="2" l="1"/>
  <c r="B33" i="10"/>
  <c r="C10" i="12"/>
  <c r="C5" i="2"/>
  <c r="C17" i="2" s="1"/>
  <c r="C31" i="2" s="1"/>
  <c r="C7" i="15"/>
  <c r="C8" i="15" s="1"/>
  <c r="D41" i="15" s="1"/>
  <c r="B63" i="10" l="1"/>
  <c r="C47" i="10"/>
  <c r="C41" i="15"/>
  <c r="D40" i="15"/>
  <c r="C40" i="15"/>
  <c r="B112" i="12"/>
  <c r="H103" i="12"/>
  <c r="H104" i="12"/>
  <c r="I105" i="12"/>
  <c r="G105" i="12"/>
  <c r="I104" i="12"/>
  <c r="G104" i="12"/>
  <c r="I103" i="12"/>
  <c r="G103" i="12"/>
  <c r="I102" i="12"/>
  <c r="G102" i="12"/>
  <c r="I101" i="12"/>
  <c r="G101" i="12"/>
  <c r="I100" i="12"/>
  <c r="G100" i="12"/>
  <c r="I99" i="12"/>
  <c r="G99" i="12"/>
  <c r="I98" i="12"/>
  <c r="G98" i="12"/>
  <c r="I97" i="12"/>
  <c r="G97" i="12"/>
  <c r="I96" i="12"/>
  <c r="G96" i="12"/>
  <c r="I95" i="12"/>
  <c r="G95" i="12"/>
  <c r="G94" i="12"/>
  <c r="I94" i="12"/>
  <c r="I93" i="12"/>
  <c r="G93" i="12"/>
  <c r="I92" i="12"/>
  <c r="G92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B116" i="12"/>
  <c r="B121" i="12"/>
  <c r="B111" i="12"/>
  <c r="B110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G80" i="12"/>
  <c r="H80" i="12"/>
  <c r="I80" i="12"/>
  <c r="G81" i="12"/>
  <c r="H81" i="12"/>
  <c r="I81" i="12"/>
  <c r="G82" i="12"/>
  <c r="H82" i="12"/>
  <c r="I82" i="12"/>
  <c r="D131" i="12" s="1"/>
  <c r="G83" i="12"/>
  <c r="H83" i="12"/>
  <c r="I83" i="12"/>
  <c r="G84" i="12"/>
  <c r="H84" i="12"/>
  <c r="I84" i="12"/>
  <c r="G106" i="12"/>
  <c r="H106" i="12"/>
  <c r="I106" i="12"/>
  <c r="H79" i="12"/>
  <c r="I79" i="12"/>
  <c r="G79" i="12"/>
  <c r="D117" i="12"/>
  <c r="E117" i="12" s="1"/>
  <c r="D110" i="12"/>
  <c r="E110" i="12" s="1"/>
  <c r="I46" i="12"/>
  <c r="D127" i="12" s="1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45" i="12"/>
  <c r="A124" i="12"/>
  <c r="C115" i="12"/>
  <c r="B115" i="12"/>
  <c r="C121" i="12"/>
  <c r="D121" i="12"/>
  <c r="E121" i="12" s="1"/>
  <c r="C110" i="12"/>
  <c r="D111" i="12"/>
  <c r="E111" i="12" s="1"/>
  <c r="D112" i="12"/>
  <c r="E112" i="12" s="1"/>
  <c r="D113" i="12"/>
  <c r="E113" i="12" s="1"/>
  <c r="D114" i="12"/>
  <c r="E114" i="12" s="1"/>
  <c r="D115" i="12"/>
  <c r="E115" i="12" s="1"/>
  <c r="D116" i="12"/>
  <c r="E116" i="12" s="1"/>
  <c r="D118" i="12"/>
  <c r="E118" i="12" s="1"/>
  <c r="D119" i="12"/>
  <c r="E119" i="12" s="1"/>
  <c r="D120" i="12"/>
  <c r="E120" i="12" s="1"/>
  <c r="C111" i="12"/>
  <c r="C112" i="12"/>
  <c r="C113" i="12"/>
  <c r="C114" i="12"/>
  <c r="C116" i="12"/>
  <c r="C117" i="12"/>
  <c r="C118" i="12"/>
  <c r="C119" i="12"/>
  <c r="C120" i="12"/>
  <c r="B113" i="12"/>
  <c r="B114" i="12"/>
  <c r="B117" i="12"/>
  <c r="B118" i="12"/>
  <c r="B119" i="12"/>
  <c r="B120" i="12"/>
  <c r="A130" i="12"/>
  <c r="D130" i="12" s="1"/>
  <c r="A129" i="12"/>
  <c r="J11" i="2"/>
  <c r="B7" i="10"/>
  <c r="G4" i="10" l="1"/>
  <c r="P4" i="10"/>
  <c r="D5" i="2"/>
  <c r="D17" i="2" s="1"/>
  <c r="D31" i="2" s="1"/>
  <c r="C63" i="10"/>
  <c r="Q4" i="10" s="1"/>
  <c r="C9" i="12"/>
  <c r="B9" i="12"/>
  <c r="D9" i="12"/>
  <c r="B15" i="10"/>
  <c r="C87" i="10" s="1"/>
  <c r="B25" i="12"/>
  <c r="B14" i="10"/>
  <c r="B80" i="10" s="1"/>
  <c r="D125" i="12"/>
  <c r="D124" i="12"/>
  <c r="D129" i="12"/>
  <c r="D126" i="12"/>
  <c r="D128" i="12"/>
  <c r="C128" i="12"/>
  <c r="B131" i="12"/>
  <c r="B127" i="12"/>
  <c r="C127" i="12"/>
  <c r="E127" i="12" s="1"/>
  <c r="C131" i="12"/>
  <c r="E131" i="12" s="1"/>
  <c r="B130" i="12"/>
  <c r="C130" i="12"/>
  <c r="E130" i="12" s="1"/>
  <c r="C126" i="12"/>
  <c r="B129" i="12"/>
  <c r="B126" i="12"/>
  <c r="C129" i="12"/>
  <c r="C125" i="12"/>
  <c r="B125" i="12"/>
  <c r="B124" i="12"/>
  <c r="B128" i="12"/>
  <c r="C124" i="12"/>
  <c r="B10" i="12"/>
  <c r="C14" i="12"/>
  <c r="C13" i="12"/>
  <c r="D6" i="12"/>
  <c r="C6" i="12"/>
  <c r="C14" i="2"/>
  <c r="C4" i="2"/>
  <c r="E26" i="10" l="1"/>
  <c r="B25" i="10" s="1"/>
  <c r="B79" i="10" s="1"/>
  <c r="G41" i="10" s="1"/>
  <c r="R4" i="10"/>
  <c r="B56" i="10"/>
  <c r="C56" i="10"/>
  <c r="C57" i="10"/>
  <c r="B49" i="10"/>
  <c r="B48" i="10" s="1"/>
  <c r="B82" i="10" s="1"/>
  <c r="C49" i="10"/>
  <c r="C48" i="10" s="1"/>
  <c r="H4" i="10"/>
  <c r="I4" i="10" s="1"/>
  <c r="D63" i="10"/>
  <c r="E63" i="10" s="1"/>
  <c r="B87" i="10"/>
  <c r="B75" i="10" s="1"/>
  <c r="C80" i="10"/>
  <c r="C70" i="10"/>
  <c r="C79" i="10"/>
  <c r="B70" i="10"/>
  <c r="B69" i="10"/>
  <c r="C64" i="10"/>
  <c r="C69" i="10"/>
  <c r="B62" i="10"/>
  <c r="C62" i="10"/>
  <c r="C75" i="10"/>
  <c r="C56" i="2"/>
  <c r="D56" i="2"/>
  <c r="C4" i="12"/>
  <c r="D4" i="12"/>
  <c r="C17" i="12"/>
  <c r="C15" i="12"/>
  <c r="D11" i="12"/>
  <c r="C11" i="12"/>
  <c r="C6" i="15"/>
  <c r="C4" i="15" s="1"/>
  <c r="E125" i="12"/>
  <c r="B4" i="12"/>
  <c r="E124" i="12"/>
  <c r="E126" i="12"/>
  <c r="E128" i="12"/>
  <c r="E129" i="12"/>
  <c r="E31" i="2"/>
  <c r="B3" i="12"/>
  <c r="B15" i="12" s="1"/>
  <c r="B17" i="12" s="1"/>
  <c r="X16" i="10" l="1"/>
  <c r="G7" i="10"/>
  <c r="P7" i="10"/>
  <c r="C58" i="10"/>
  <c r="C76" i="10"/>
  <c r="Q6" i="10" s="1"/>
  <c r="H6" i="10"/>
  <c r="B76" i="10"/>
  <c r="P6" i="10" s="1"/>
  <c r="G6" i="10"/>
  <c r="C81" i="10"/>
  <c r="D80" i="10"/>
  <c r="E80" i="10" s="1"/>
  <c r="C71" i="10"/>
  <c r="B71" i="10"/>
  <c r="D70" i="10"/>
  <c r="E70" i="10" s="1"/>
  <c r="D69" i="10"/>
  <c r="E69" i="10" s="1"/>
  <c r="D62" i="10"/>
  <c r="E62" i="10" s="1"/>
  <c r="B57" i="10"/>
  <c r="B64" i="10"/>
  <c r="D56" i="10"/>
  <c r="E56" i="10" s="1"/>
  <c r="D75" i="10"/>
  <c r="E75" i="10" s="1"/>
  <c r="C82" i="10"/>
  <c r="B27" i="10"/>
  <c r="G81" i="2"/>
  <c r="G68" i="2"/>
  <c r="C18" i="2"/>
  <c r="B7" i="12"/>
  <c r="B8" i="12" s="1"/>
  <c r="B30" i="12" s="1"/>
  <c r="B29" i="12"/>
  <c r="C51" i="2"/>
  <c r="C19" i="2"/>
  <c r="D19" i="2"/>
  <c r="D26" i="15"/>
  <c r="C26" i="15"/>
  <c r="C16" i="2"/>
  <c r="C48" i="2" s="1"/>
  <c r="X7" i="10" s="1"/>
  <c r="D6" i="2"/>
  <c r="D44" i="2" s="1"/>
  <c r="C6" i="2"/>
  <c r="C49" i="2" s="1"/>
  <c r="C12" i="12"/>
  <c r="B11" i="12"/>
  <c r="B18" i="12" s="1"/>
  <c r="C3" i="12"/>
  <c r="D15" i="12"/>
  <c r="D17" i="12" s="1"/>
  <c r="C32" i="12"/>
  <c r="F5" i="2"/>
  <c r="D3" i="12"/>
  <c r="B33" i="12"/>
  <c r="D33" i="12" s="1"/>
  <c r="R6" i="10" l="1"/>
  <c r="I6" i="10"/>
  <c r="H7" i="10"/>
  <c r="I7" i="10" s="1"/>
  <c r="Q7" i="10"/>
  <c r="R7" i="10" s="1"/>
  <c r="C72" i="10"/>
  <c r="Q5" i="10" s="1"/>
  <c r="H5" i="10"/>
  <c r="B72" i="10"/>
  <c r="P5" i="10" s="1"/>
  <c r="G5" i="10"/>
  <c r="C83" i="10"/>
  <c r="B81" i="10"/>
  <c r="D81" i="10" s="1"/>
  <c r="E81" i="10" s="1"/>
  <c r="D79" i="10"/>
  <c r="E79" i="10" s="1"/>
  <c r="D71" i="10"/>
  <c r="E71" i="10" s="1"/>
  <c r="B65" i="10"/>
  <c r="G3" i="10" s="1"/>
  <c r="D64" i="10"/>
  <c r="B58" i="10"/>
  <c r="D82" i="10"/>
  <c r="E82" i="10" s="1"/>
  <c r="G82" i="2"/>
  <c r="D51" i="2"/>
  <c r="D18" i="2"/>
  <c r="G69" i="2"/>
  <c r="C43" i="2"/>
  <c r="C44" i="2"/>
  <c r="D24" i="2"/>
  <c r="D43" i="2"/>
  <c r="C30" i="2"/>
  <c r="C24" i="2"/>
  <c r="C61" i="2"/>
  <c r="C74" i="2"/>
  <c r="C25" i="2"/>
  <c r="D48" i="2"/>
  <c r="Y7" i="10" s="1"/>
  <c r="Z7" i="10" s="1"/>
  <c r="C7" i="12"/>
  <c r="C8" i="12" s="1"/>
  <c r="C29" i="12"/>
  <c r="D7" i="12"/>
  <c r="D8" i="12" s="1"/>
  <c r="D29" i="12"/>
  <c r="D18" i="12"/>
  <c r="C18" i="12"/>
  <c r="C39" i="12" s="1"/>
  <c r="C37" i="2"/>
  <c r="C38" i="2" s="1"/>
  <c r="C37" i="15"/>
  <c r="C27" i="15"/>
  <c r="F26" i="15"/>
  <c r="G26" i="15" s="1"/>
  <c r="D37" i="15"/>
  <c r="D27" i="15"/>
  <c r="D37" i="2"/>
  <c r="D38" i="2"/>
  <c r="F31" i="2"/>
  <c r="J10" i="2"/>
  <c r="J13" i="2" s="1"/>
  <c r="E16" i="2"/>
  <c r="D30" i="2"/>
  <c r="Y12" i="10" s="1"/>
  <c r="D49" i="2"/>
  <c r="B32" i="12"/>
  <c r="D31" i="12"/>
  <c r="D32" i="12"/>
  <c r="R5" i="10" l="1"/>
  <c r="I5" i="10"/>
  <c r="C84" i="10"/>
  <c r="Q8" i="10" s="1"/>
  <c r="H8" i="10"/>
  <c r="B59" i="10"/>
  <c r="P2" i="10" s="1"/>
  <c r="G2" i="10"/>
  <c r="B83" i="10"/>
  <c r="D45" i="2"/>
  <c r="C45" i="2"/>
  <c r="D72" i="10"/>
  <c r="E72" i="10" s="1"/>
  <c r="B66" i="10"/>
  <c r="P3" i="10" s="1"/>
  <c r="E51" i="2"/>
  <c r="F51" i="2" s="1"/>
  <c r="D74" i="2"/>
  <c r="D81" i="2" s="1"/>
  <c r="F68" i="2"/>
  <c r="F81" i="2"/>
  <c r="C79" i="2"/>
  <c r="C81" i="2"/>
  <c r="C82" i="2"/>
  <c r="C66" i="2"/>
  <c r="D61" i="2"/>
  <c r="F61" i="2" s="1"/>
  <c r="C68" i="2"/>
  <c r="C69" i="2"/>
  <c r="C26" i="2"/>
  <c r="X10" i="10" s="1"/>
  <c r="E30" i="2"/>
  <c r="F30" i="2" s="1"/>
  <c r="C29" i="15"/>
  <c r="C39" i="15" s="1"/>
  <c r="C28" i="15"/>
  <c r="D29" i="15"/>
  <c r="D28" i="15"/>
  <c r="D30" i="12"/>
  <c r="D34" i="12" s="1"/>
  <c r="D37" i="12" s="1"/>
  <c r="C30" i="12"/>
  <c r="C34" i="12" s="1"/>
  <c r="D50" i="2"/>
  <c r="D52" i="2" s="1"/>
  <c r="Y8" i="10" s="1"/>
  <c r="C50" i="2"/>
  <c r="C52" i="2" s="1"/>
  <c r="X8" i="10" s="1"/>
  <c r="D25" i="2"/>
  <c r="D32" i="2"/>
  <c r="C32" i="2"/>
  <c r="X12" i="10" s="1"/>
  <c r="Z12" i="10" s="1"/>
  <c r="F27" i="15"/>
  <c r="G27" i="15" s="1"/>
  <c r="D38" i="15"/>
  <c r="D36" i="15" s="1"/>
  <c r="C38" i="15"/>
  <c r="E48" i="2"/>
  <c r="F48" i="2" s="1"/>
  <c r="E24" i="2"/>
  <c r="F24" i="2" s="1"/>
  <c r="D39" i="2"/>
  <c r="C39" i="2"/>
  <c r="E44" i="2"/>
  <c r="J12" i="2"/>
  <c r="E43" i="2"/>
  <c r="G66" i="2" s="1"/>
  <c r="E37" i="2"/>
  <c r="F37" i="2" s="1"/>
  <c r="E49" i="2"/>
  <c r="F49" i="2" s="1"/>
  <c r="B39" i="12"/>
  <c r="Y16" i="10" s="1"/>
  <c r="Z16" i="10" s="1"/>
  <c r="B34" i="12"/>
  <c r="B37" i="12" s="1"/>
  <c r="Y14" i="10" s="1"/>
  <c r="G42" i="10" l="1"/>
  <c r="G43" i="10" s="1"/>
  <c r="Z8" i="10"/>
  <c r="B84" i="10"/>
  <c r="G8" i="10"/>
  <c r="I8" i="10" s="1"/>
  <c r="D83" i="10"/>
  <c r="E83" i="10" s="1"/>
  <c r="D40" i="2"/>
  <c r="C40" i="2"/>
  <c r="F74" i="2"/>
  <c r="G74" i="2"/>
  <c r="D79" i="2"/>
  <c r="D82" i="2"/>
  <c r="E82" i="2" s="1"/>
  <c r="D53" i="2"/>
  <c r="D26" i="2"/>
  <c r="Y10" i="10" s="1"/>
  <c r="Z10" i="10" s="1"/>
  <c r="E81" i="2"/>
  <c r="E45" i="2"/>
  <c r="F45" i="2" s="1"/>
  <c r="F44" i="2"/>
  <c r="F79" i="2" s="1"/>
  <c r="G79" i="2"/>
  <c r="D66" i="2"/>
  <c r="D69" i="2"/>
  <c r="E69" i="2" s="1"/>
  <c r="D68" i="2"/>
  <c r="E68" i="2" s="1"/>
  <c r="G61" i="2"/>
  <c r="F43" i="2"/>
  <c r="C65" i="2"/>
  <c r="C27" i="2"/>
  <c r="C63" i="2"/>
  <c r="C67" i="2"/>
  <c r="C33" i="2"/>
  <c r="E32" i="2"/>
  <c r="C36" i="15"/>
  <c r="F36" i="15" s="1"/>
  <c r="G36" i="15" s="1"/>
  <c r="F29" i="15"/>
  <c r="G29" i="15" s="1"/>
  <c r="D31" i="15"/>
  <c r="F31" i="15" s="1"/>
  <c r="G31" i="15" s="1"/>
  <c r="F28" i="15"/>
  <c r="G28" i="15" s="1"/>
  <c r="J14" i="2"/>
  <c r="J16" i="2"/>
  <c r="J15" i="2" s="1"/>
  <c r="E50" i="2"/>
  <c r="F50" i="2" s="1"/>
  <c r="E39" i="2"/>
  <c r="E38" i="2"/>
  <c r="F38" i="2" s="1"/>
  <c r="B38" i="12"/>
  <c r="E25" i="2"/>
  <c r="F25" i="2" s="1"/>
  <c r="D38" i="12"/>
  <c r="C38" i="12"/>
  <c r="C37" i="12"/>
  <c r="X14" i="10" s="1"/>
  <c r="Z14" i="10" s="1"/>
  <c r="D84" i="10" l="1"/>
  <c r="E84" i="10" s="1"/>
  <c r="P8" i="10"/>
  <c r="F66" i="2"/>
  <c r="E40" i="2"/>
  <c r="F40" i="2" s="1"/>
  <c r="C64" i="2"/>
  <c r="C70" i="2" s="1"/>
  <c r="G65" i="2"/>
  <c r="G78" i="2"/>
  <c r="F39" i="2"/>
  <c r="C53" i="2"/>
  <c r="C34" i="2"/>
  <c r="C76" i="2"/>
  <c r="D27" i="2"/>
  <c r="J8" i="2"/>
  <c r="D33" i="2"/>
  <c r="F32" i="2"/>
  <c r="X27" i="10"/>
  <c r="E52" i="2"/>
  <c r="E26" i="2"/>
  <c r="P10" i="10" l="1"/>
  <c r="R8" i="10"/>
  <c r="G10" i="10"/>
  <c r="K10" i="10" s="1"/>
  <c r="F65" i="2"/>
  <c r="F78" i="2"/>
  <c r="G67" i="2"/>
  <c r="G80" i="2"/>
  <c r="G63" i="2"/>
  <c r="G76" i="2"/>
  <c r="F52" i="2"/>
  <c r="F26" i="2"/>
  <c r="E53" i="2"/>
  <c r="F53" i="2" s="1"/>
  <c r="E33" i="2"/>
  <c r="C80" i="2"/>
  <c r="C77" i="2"/>
  <c r="C78" i="2"/>
  <c r="D34" i="2"/>
  <c r="E34" i="2" s="1"/>
  <c r="E27" i="2"/>
  <c r="F27" i="2" s="1"/>
  <c r="K3" i="10" l="1"/>
  <c r="K4" i="10"/>
  <c r="K2" i="10"/>
  <c r="K8" i="10"/>
  <c r="K6" i="10"/>
  <c r="K7" i="10"/>
  <c r="K5" i="10"/>
  <c r="F67" i="2"/>
  <c r="F80" i="2"/>
  <c r="F63" i="2"/>
  <c r="F76" i="2"/>
  <c r="G64" i="2"/>
  <c r="G77" i="2"/>
  <c r="F33" i="2"/>
  <c r="D77" i="2"/>
  <c r="D80" i="2"/>
  <c r="D76" i="2"/>
  <c r="E76" i="2" s="1"/>
  <c r="D78" i="2"/>
  <c r="E79" i="2"/>
  <c r="E66" i="2"/>
  <c r="D67" i="2"/>
  <c r="D64" i="2"/>
  <c r="E64" i="2" s="1"/>
  <c r="D63" i="2"/>
  <c r="E63" i="2" s="1"/>
  <c r="D65" i="2"/>
  <c r="E65" i="2" s="1"/>
  <c r="F34" i="2"/>
  <c r="F64" i="2" l="1"/>
  <c r="F77" i="2"/>
  <c r="D70" i="2"/>
  <c r="E67" i="2"/>
  <c r="E80" i="2"/>
  <c r="E77" i="2"/>
  <c r="E78" i="2"/>
  <c r="D76" i="10" l="1"/>
  <c r="E76" i="10" s="1"/>
  <c r="D57" i="10"/>
  <c r="E57" i="10" s="1"/>
  <c r="C59" i="10" l="1"/>
  <c r="Q2" i="10" s="1"/>
  <c r="H2" i="10"/>
  <c r="I2" i="10" s="1"/>
  <c r="D58" i="10"/>
  <c r="E58" i="10" s="1"/>
  <c r="C65" i="10"/>
  <c r="H3" i="10" s="1"/>
  <c r="I3" i="10" s="1"/>
  <c r="E64" i="10"/>
  <c r="R2" i="10" l="1"/>
  <c r="H10" i="10"/>
  <c r="C66" i="10"/>
  <c r="D65" i="10"/>
  <c r="E65" i="10" s="1"/>
  <c r="D59" i="10"/>
  <c r="E59" i="10" s="1"/>
  <c r="L10" i="10" l="1"/>
  <c r="M10" i="10" s="1"/>
  <c r="L2" i="10"/>
  <c r="M2" i="10" s="1"/>
  <c r="I10" i="10"/>
  <c r="D66" i="10"/>
  <c r="E66" i="10" s="1"/>
  <c r="Q3" i="10"/>
  <c r="Q10" i="10" s="1"/>
  <c r="R10" i="10" s="1"/>
  <c r="L3" i="10"/>
  <c r="M3" i="10" s="1"/>
  <c r="L8" i="10"/>
  <c r="M8" i="10" s="1"/>
  <c r="L5" i="10"/>
  <c r="M5" i="10" s="1"/>
  <c r="L4" i="10"/>
  <c r="M4" i="10" s="1"/>
  <c r="L6" i="10"/>
  <c r="M6" i="10" s="1"/>
  <c r="L7" i="10"/>
  <c r="M7" i="10" s="1"/>
  <c r="R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CHENET Aurelie</author>
  </authors>
  <commentList>
    <comment ref="B21" authorId="0" shapeId="0" xr:uid="{38BC4C89-79A2-4640-93FD-36D23514A9F7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modifs à faire : coût de la fabrication à ajuster selon le type de livres / nbr de lectures par prêt informel ?</t>
        </r>
      </text>
    </comment>
    <comment ref="B32" authorId="0" shapeId="0" xr:uid="{EA88F3B8-343A-4600-9A08-5A7645364705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1 = 0 prêt. Pas de différence entre achat et abonnement</t>
        </r>
      </text>
    </comment>
    <comment ref="B33" authorId="0" shapeId="0" xr:uid="{34888DD8-7396-45AD-93D3-87F5C50AD562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Reco V. Bonami: ce chiffre doit intégrer les ventes de neuf qui auraient été faites sans l'existence des abonnements. Ce chiffre est le plus compliqué à évaluer</t>
        </r>
      </text>
    </comment>
    <comment ref="C38" authorId="0" shapeId="0" xr:uid="{9DC37EB5-0FF7-4B47-A174-C9C8AE228465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relativement élevé</t>
        </r>
      </text>
    </comment>
    <comment ref="A42" authorId="0" shapeId="0" xr:uid="{0459D22B-F892-4D10-9B9E-64572C410FC4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 (hyp moyenne droits contractuels)</t>
        </r>
      </text>
    </comment>
    <comment ref="D49" authorId="0" shapeId="0" xr:uid="{628E1DEE-EE7A-40FC-ACC3-E56946BC285F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à revalider mais ~ ok</t>
        </r>
      </text>
    </comment>
    <comment ref="B86" authorId="0" shapeId="0" xr:uid="{D988EC2B-180C-4C6A-AD90-51F4B584189B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Marginal et discutable d'un point de vue juridique + redistrib entre les différents acteurs. Donc on garde la case mais à 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CHENET Aurelie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le libraire achète au diffuseur/éditeur les livres avec cette remise</t>
        </r>
      </text>
    </comment>
    <comment ref="C7" authorId="0" shapeId="0" xr:uid="{D7FC96A1-0CF5-4685-9EAA-0CF242BF1ADA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pour le moment on part à iso remise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le diffuseur achète ses livres à l'éditeur avec cette remise</t>
        </r>
      </text>
    </comment>
    <comment ref="A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 (hyp moyenne droits contractuels)</t>
        </r>
      </text>
    </comment>
    <comment ref="C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Hyp farfelue à revoir</t>
        </r>
      </text>
    </comment>
    <comment ref="C55" authorId="0" shapeId="0" xr:uid="{3FA39E8C-8027-4A9A-95D4-BD16E5A40A42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Marginal et discutable d'un point de vue juridique + redistrib entre les différents acteurs. Donc on garde la case mais à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32" authorId="0" shapeId="0" xr:uid="{9540BC36-EF1B-491F-B8D3-3F746DA204D5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hypothèse = 1 trajet = 2 livres achetés, en moyenne
</t>
        </r>
      </text>
    </comment>
    <comment ref="C32" authorId="0" shapeId="0" xr:uid="{5A621D07-1A58-4183-BD85-23685E7D648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un AS seulement (échange de livre à chaque fois)
</t>
        </r>
      </text>
    </comment>
  </commentList>
</comments>
</file>

<file path=xl/sharedStrings.xml><?xml version="1.0" encoding="utf-8"?>
<sst xmlns="http://schemas.openxmlformats.org/spreadsheetml/2006/main" count="567" uniqueCount="345">
  <si>
    <t>Remise libraire</t>
  </si>
  <si>
    <t>Contribution volontaire "création"</t>
  </si>
  <si>
    <t>Nbre de titres achetés achetés en N exemplaires par le libraire pour constituer son offre abonnement</t>
  </si>
  <si>
    <t>CA retour</t>
  </si>
  <si>
    <t>Prix abonnement HT</t>
  </si>
  <si>
    <t>Abonnement</t>
  </si>
  <si>
    <t>Diffusion classique</t>
  </si>
  <si>
    <t>Taux de retour</t>
  </si>
  <si>
    <t>Nombre d'exemplaires total achetés par le libraire à son diffuseur/éditeur</t>
  </si>
  <si>
    <t>Nombre de clients lecteurs adhérents à l'abonnement</t>
  </si>
  <si>
    <t>Coût transport retours pour le libraire</t>
  </si>
  <si>
    <t>Coût transport aller pour le libraire</t>
  </si>
  <si>
    <t>Editeur</t>
  </si>
  <si>
    <t>Libraire</t>
  </si>
  <si>
    <t>CA</t>
  </si>
  <si>
    <t>Fabrication</t>
  </si>
  <si>
    <t>Auteur</t>
  </si>
  <si>
    <t>Droits contractuels</t>
  </si>
  <si>
    <t>CA ventes (HT)</t>
  </si>
  <si>
    <t>CA brut diffuseur avant retours</t>
  </si>
  <si>
    <t>Nbre d'exemplaires imprimés</t>
  </si>
  <si>
    <t>Diffuseur</t>
  </si>
  <si>
    <t>remise distribution</t>
  </si>
  <si>
    <t>total diff distribution (y compris remise)</t>
  </si>
  <si>
    <t>Distributeur</t>
  </si>
  <si>
    <t>Coût achat des livres</t>
  </si>
  <si>
    <t>CA additionnel "bourse aux livres d'occasion" (vérifier compatibilité loi lang)</t>
  </si>
  <si>
    <t>Total valeur créée</t>
  </si>
  <si>
    <t>Auteurs</t>
  </si>
  <si>
    <t>Diffuseurs</t>
  </si>
  <si>
    <t>Distributeurs</t>
  </si>
  <si>
    <t>Editeurs</t>
  </si>
  <si>
    <t>Libraires</t>
  </si>
  <si>
    <t>Livres dispo en rayon</t>
  </si>
  <si>
    <t>Droits d' auteurs</t>
  </si>
  <si>
    <t xml:space="preserve">Remise diffuseur </t>
  </si>
  <si>
    <t>TTC</t>
  </si>
  <si>
    <t>Répartition de la valeur  :</t>
  </si>
  <si>
    <t>La librairie</t>
  </si>
  <si>
    <t>La commercialisation</t>
  </si>
  <si>
    <t>Localisation</t>
  </si>
  <si>
    <t>Part des trajets réalisés en voiture</t>
  </si>
  <si>
    <t>Segment éditorial proposé</t>
  </si>
  <si>
    <t>Prix public HT moyen</t>
  </si>
  <si>
    <t>Prix HT de l'abonnement annuel</t>
  </si>
  <si>
    <t>Nombre d'exemplaires achetés</t>
  </si>
  <si>
    <t>Nombre d'abonnements vendus</t>
  </si>
  <si>
    <t>Circuit Achat</t>
  </si>
  <si>
    <t>Circuit Location</t>
  </si>
  <si>
    <t>Circuit Occasion</t>
  </si>
  <si>
    <t>Nbr de livres achetés par le libraire</t>
  </si>
  <si>
    <t>livres</t>
  </si>
  <si>
    <t>Poids moyen d'un livre</t>
  </si>
  <si>
    <t>gCO2e</t>
  </si>
  <si>
    <t>%</t>
  </si>
  <si>
    <t>Transport livre neuf jusqu'à la librairie</t>
  </si>
  <si>
    <t>tonne.km</t>
  </si>
  <si>
    <t>Transport retour des invendus</t>
  </si>
  <si>
    <t>PPHT livres</t>
  </si>
  <si>
    <t>PPHT de l'abonnement</t>
  </si>
  <si>
    <t>Nbr abonnements vendus</t>
  </si>
  <si>
    <t>Nbr moyen de livres lus par abonnement</t>
  </si>
  <si>
    <t>trajets AS</t>
  </si>
  <si>
    <t>Nbr moyen de lecture par livre</t>
  </si>
  <si>
    <t>Total lectures</t>
  </si>
  <si>
    <t>CA du libraire de neuf</t>
  </si>
  <si>
    <t>FACTEURS D'EMISSION</t>
  </si>
  <si>
    <t>FE tonne.km</t>
  </si>
  <si>
    <t>kg/tonne.km</t>
  </si>
  <si>
    <t>Rigide/3,5 à 7,5 tonnes/Diesel routier, incorporation 7 % de biodiesel</t>
  </si>
  <si>
    <t>FE véhicule moyen</t>
  </si>
  <si>
    <t>kg/km.passager</t>
  </si>
  <si>
    <t>Voiture/Motorisation moyenne/2018</t>
  </si>
  <si>
    <t>FE livre d'occasion</t>
  </si>
  <si>
    <t>kg/livre</t>
  </si>
  <si>
    <t>Recyclivre</t>
  </si>
  <si>
    <t>Fabrication du livre</t>
  </si>
  <si>
    <t>kgCO2e</t>
  </si>
  <si>
    <t>FE pilon</t>
  </si>
  <si>
    <t>kg éq. CO2/kg</t>
  </si>
  <si>
    <t>Ademe, pâte à papier recyclé</t>
  </si>
  <si>
    <t>EMISSIONS DE CO2e, en kg</t>
  </si>
  <si>
    <t>fabrication des livres</t>
  </si>
  <si>
    <t>fret aller et retour</t>
  </si>
  <si>
    <t>fret Recyclivre</t>
  </si>
  <si>
    <t>transport clients</t>
  </si>
  <si>
    <t>Pilon 20%</t>
  </si>
  <si>
    <t>TOTAL</t>
  </si>
  <si>
    <t>RATIOS</t>
  </si>
  <si>
    <t>émissions par lecture</t>
  </si>
  <si>
    <t>émissions par € de CA (hors recyclivre)</t>
  </si>
  <si>
    <t>Coût de chaque lecture pour le client (hors recyclivre)</t>
  </si>
  <si>
    <t>non calculé</t>
  </si>
  <si>
    <t>L'usage</t>
  </si>
  <si>
    <t>Un livre acheté ou loué est prêté</t>
  </si>
  <si>
    <t>fois à d'autres usagers (non abonnés : conjoint, fratrie…)</t>
  </si>
  <si>
    <t>Hypothèses</t>
  </si>
  <si>
    <t>Marge du libraire</t>
  </si>
  <si>
    <t>achat</t>
  </si>
  <si>
    <t>Droits d'auteur versés</t>
  </si>
  <si>
    <t>CA éditeur</t>
  </si>
  <si>
    <t>Coût € par lecture</t>
  </si>
  <si>
    <t>Part trajet en voiture</t>
  </si>
  <si>
    <t>CO2 par lecture (kg)</t>
  </si>
  <si>
    <t>NB : comparaison à nombre de livres achetés par le libraire constant</t>
  </si>
  <si>
    <t>Conseil : ne modifier que les cases à fond rose pâle</t>
  </si>
  <si>
    <t>Kilométrage moyen (aller simple) domicile-librairie</t>
  </si>
  <si>
    <t>Titre</t>
  </si>
  <si>
    <t>Segment</t>
  </si>
  <si>
    <t>prix</t>
  </si>
  <si>
    <t>Simple</t>
  </si>
  <si>
    <t>La tour</t>
  </si>
  <si>
    <t>Poche (littérature)</t>
  </si>
  <si>
    <t>Le petit Larousse du jardin facile</t>
  </si>
  <si>
    <t>Pratique (jardin)</t>
  </si>
  <si>
    <t>Livre sonore</t>
  </si>
  <si>
    <t>La Maubrairie – les célèbres jardins</t>
  </si>
  <si>
    <t>Beau Livre</t>
  </si>
  <si>
    <t>Faire classe dehors</t>
  </si>
  <si>
    <t>Manuel scolaire</t>
  </si>
  <si>
    <t>Bilan carbone, en g CO2e</t>
  </si>
  <si>
    <t>FE transport client</t>
  </si>
  <si>
    <t>centre ville, grande agglo</t>
  </si>
  <si>
    <t>moyenne agglo</t>
  </si>
  <si>
    <t>zone rurale</t>
  </si>
  <si>
    <t>km moyen AS</t>
  </si>
  <si>
    <t>part de la voiture</t>
  </si>
  <si>
    <t>Roman broché</t>
  </si>
  <si>
    <t>Le bureau des affaires non résolues</t>
  </si>
  <si>
    <t>on va déguster</t>
  </si>
  <si>
    <t>Cluedo</t>
  </si>
  <si>
    <t>La photo qui tue</t>
  </si>
  <si>
    <t>Le monde d'Ediwan</t>
  </si>
  <si>
    <t>Engrenages et sortilèges</t>
  </si>
  <si>
    <t>agatha christie</t>
  </si>
  <si>
    <t>Les misérables</t>
  </si>
  <si>
    <t>Pratique (cuisine)</t>
  </si>
  <si>
    <t xml:space="preserve"> </t>
  </si>
  <si>
    <t>Poche (jeunesse)</t>
  </si>
  <si>
    <t>(Bayard) - Petit ours brun fait de la musique</t>
  </si>
  <si>
    <t>CA ventes libraire</t>
  </si>
  <si>
    <t>ventes de livres neufs</t>
  </si>
  <si>
    <t>soit</t>
  </si>
  <si>
    <t>vendus</t>
  </si>
  <si>
    <t>prix de location proposé</t>
  </si>
  <si>
    <t>CO2 en gramme</t>
  </si>
  <si>
    <t>poids en gramme</t>
  </si>
  <si>
    <t>catégorie</t>
  </si>
  <si>
    <t>Nombre de titres annuels dans l'abonnement</t>
  </si>
  <si>
    <t>Elles vécurent heureuses</t>
  </si>
  <si>
    <t>Essai</t>
  </si>
  <si>
    <t>Mon dictionnaire d'économie</t>
  </si>
  <si>
    <t>Madame, il fallait partir</t>
  </si>
  <si>
    <t>Survivre à la survie</t>
  </si>
  <si>
    <t>De l'or dans le sang</t>
  </si>
  <si>
    <t>Je suis un monstre qui vous parle</t>
  </si>
  <si>
    <t>Brouillon pour un dictionnaire des amantes</t>
  </si>
  <si>
    <t>BD couv souple</t>
  </si>
  <si>
    <t>Elle a fait un bébé toute seule</t>
  </si>
  <si>
    <t>La liberté dans le sang</t>
  </si>
  <si>
    <t>Thomas Sankara Rebelle Visionnaire</t>
  </si>
  <si>
    <t>La marée des sorcières</t>
  </si>
  <si>
    <t>Kaddour</t>
  </si>
  <si>
    <t>Quelqu'un d'autre (musso)</t>
  </si>
  <si>
    <t>La lignée</t>
  </si>
  <si>
    <t>Afterlove</t>
  </si>
  <si>
    <t>Romance / YA broché</t>
  </si>
  <si>
    <t>Loveless</t>
  </si>
  <si>
    <t>Trouble maker</t>
  </si>
  <si>
    <t>Smoothies et jus santé</t>
  </si>
  <si>
    <t>Régalades</t>
  </si>
  <si>
    <t>en cuisine pour toute la semaine</t>
  </si>
  <si>
    <t>Album jeunesse</t>
  </si>
  <si>
    <t>Hypothèses transport clients</t>
  </si>
  <si>
    <t>Taux de retour moyen du rayon</t>
  </si>
  <si>
    <t>méta-catégorie</t>
  </si>
  <si>
    <t>poche</t>
  </si>
  <si>
    <t>pratique</t>
  </si>
  <si>
    <t>scolaire</t>
  </si>
  <si>
    <t>broché</t>
  </si>
  <si>
    <t>beau-livre</t>
  </si>
  <si>
    <t>BD</t>
  </si>
  <si>
    <t>Méta-catégories</t>
  </si>
  <si>
    <t>poids</t>
  </si>
  <si>
    <t>CO2</t>
  </si>
  <si>
    <t>ratio gCO2/€</t>
  </si>
  <si>
    <t>Pokedex</t>
  </si>
  <si>
    <t>Album</t>
  </si>
  <si>
    <t>Documentaire enfant</t>
  </si>
  <si>
    <t>documentaire jeunesse</t>
  </si>
  <si>
    <t>Le livre de magie le plus facile du monde</t>
  </si>
  <si>
    <t>Les plus belles berceuses jazz</t>
  </si>
  <si>
    <t>Livre CD</t>
  </si>
  <si>
    <t>livre CD</t>
  </si>
  <si>
    <t>Bulle et bob dans la cabane</t>
  </si>
  <si>
    <t>Le journal d'Anne Franck</t>
  </si>
  <si>
    <t>Heartstroper</t>
  </si>
  <si>
    <t>La moufle</t>
  </si>
  <si>
    <t>Un ours, un vrai</t>
  </si>
  <si>
    <t>La doudou liste</t>
  </si>
  <si>
    <t>L'art du bonzai</t>
  </si>
  <si>
    <t>Pratique</t>
  </si>
  <si>
    <t>Cabanes, 50 plans détaillés</t>
  </si>
  <si>
    <t>Cyclique</t>
  </si>
  <si>
    <t xml:space="preserve">Pratique </t>
  </si>
  <si>
    <t>Signer et accompagner les émotions</t>
  </si>
  <si>
    <t>Le monde entre les mains</t>
  </si>
  <si>
    <t>Biographie</t>
  </si>
  <si>
    <t>Tartes faciles</t>
  </si>
  <si>
    <t>La cuisine sans bla bla</t>
  </si>
  <si>
    <t>Recettes sans courses</t>
  </si>
  <si>
    <t>Cuisiner sans gaz ni électricité</t>
  </si>
  <si>
    <t>Routard Grand paris Nord</t>
  </si>
  <si>
    <t>Pratique (voyage)</t>
  </si>
  <si>
    <t>Routard Canal de Bourgogne</t>
  </si>
  <si>
    <t>Le palace de Rose et Suzon</t>
  </si>
  <si>
    <t>Broché (jeunesse)</t>
  </si>
  <si>
    <t>La piscine magique</t>
  </si>
  <si>
    <t>Saké</t>
  </si>
  <si>
    <t>100 spots de plongée à couper le souffle</t>
  </si>
  <si>
    <t>Dans la musette</t>
  </si>
  <si>
    <t>Ménage &amp; vous</t>
  </si>
  <si>
    <t>365 recettes &amp; conseils pour bien manger au naturel</t>
  </si>
  <si>
    <t xml:space="preserve">Cuisine Basque </t>
  </si>
  <si>
    <t>Facteurs d'émissions - exemples de livres</t>
  </si>
  <si>
    <t xml:space="preserve">Soit marge libraire = </t>
  </si>
  <si>
    <t>Fanny  (moyenne des chiffres ci-dessous)</t>
  </si>
  <si>
    <t>Poids (en grammes)</t>
  </si>
  <si>
    <t>Facteurs d'émissions - moyennes par catégories</t>
  </si>
  <si>
    <t>(objectif minimum = 1500€ marge)</t>
  </si>
  <si>
    <t>Nombre de livres fabriqués</t>
  </si>
  <si>
    <t xml:space="preserve">CO2 total </t>
  </si>
  <si>
    <t>abonnement</t>
  </si>
  <si>
    <t>Droits d'auteurs</t>
  </si>
  <si>
    <t>L'assortiment proposé à l'abonnement</t>
  </si>
  <si>
    <t>L'abonné a emprunté</t>
  </si>
  <si>
    <t>PPHT moyen des livres achetés par le libraire</t>
  </si>
  <si>
    <t>En V-R, à volumes expédiés constants, le distributeur est gagnant. Ce n'est pas vrai en V+R</t>
  </si>
  <si>
    <t>Scénario si contrat distrib en V+R</t>
  </si>
  <si>
    <t>Commission aller</t>
  </si>
  <si>
    <t xml:space="preserve">Commission retour </t>
  </si>
  <si>
    <t>CA expédié</t>
  </si>
  <si>
    <t>CA net de retour</t>
  </si>
  <si>
    <t>CA Aller</t>
  </si>
  <si>
    <t>CA Retour</t>
  </si>
  <si>
    <t>Commission (V-R)</t>
  </si>
  <si>
    <t>Commission CA net de retour</t>
  </si>
  <si>
    <t>Commission (V+R)</t>
  </si>
  <si>
    <t>égal à commission V+R pour simuler le taux de com' distrib</t>
  </si>
  <si>
    <t>Remise distribution</t>
  </si>
  <si>
    <t>Nombre d'exemplaires toujours dispos en rayon</t>
  </si>
  <si>
    <t>Scénario d'abonnement</t>
  </si>
  <si>
    <t>Taux de défraichis à remplacer sur l'assortiment d'origine</t>
  </si>
  <si>
    <t>Coût de fabrication moyen d'un ouvrage de l'assortiment</t>
  </si>
  <si>
    <t>Facteur de hausse du coût de fabrication pour les exemplaires de l'abonnement</t>
  </si>
  <si>
    <t>CA "aller" Expéditions (CA en PPHT)</t>
  </si>
  <si>
    <t>Taux retours</t>
  </si>
  <si>
    <t>PPHT moyen expédié (€)</t>
  </si>
  <si>
    <t>Qtés expédiées (en nb d'ex)</t>
  </si>
  <si>
    <t>Qtés retournées (en nb d'ex)</t>
  </si>
  <si>
    <t>% qtés retournées à trier et réintégrer (mis à part si défraichis)</t>
  </si>
  <si>
    <t>% qtés retournées à pilonner directement</t>
  </si>
  <si>
    <t>Taux défraichis à mettre en container</t>
  </si>
  <si>
    <t>Tarifs prestations complémentaires</t>
  </si>
  <si>
    <t>Tri-réintégration (coût à l'ex)</t>
  </si>
  <si>
    <t>MAD containers = mise à part des défraichis non réintégrés (coût à l'ex)</t>
  </si>
  <si>
    <t>Simulation revenus distributeur</t>
  </si>
  <si>
    <t>Base de calcul (en k€)</t>
  </si>
  <si>
    <t>CA Retours (CA en PPHT)</t>
  </si>
  <si>
    <t>Taux de Retours ( en valeur)</t>
  </si>
  <si>
    <t>CA Fort (V-R) en PPHT</t>
  </si>
  <si>
    <t>Taux de commission nette sur V-R</t>
  </si>
  <si>
    <t>Taux de commission nette V</t>
  </si>
  <si>
    <t>Taux de commission nette R</t>
  </si>
  <si>
    <t>COMMISSIONS NETTES</t>
  </si>
  <si>
    <t>COMMISSIONS ALLER (V)</t>
  </si>
  <si>
    <t>COMMISSION RETOUR (R )</t>
  </si>
  <si>
    <t>COMMISSION ALLER - RETOUR (V-R)</t>
  </si>
  <si>
    <t>TRI-REINTEGRATION</t>
  </si>
  <si>
    <t>MAD CONTAINERS</t>
  </si>
  <si>
    <t>REGULARISATIONS DE COMMISSIONS</t>
  </si>
  <si>
    <t>Commission V-R</t>
  </si>
  <si>
    <t>Commission V+R</t>
  </si>
  <si>
    <t>Var V+R vs V-R en valeur</t>
  </si>
  <si>
    <t>Var V+R vs V-R en %</t>
  </si>
  <si>
    <t>Scénario 1</t>
  </si>
  <si>
    <t>Scénario 2</t>
  </si>
  <si>
    <t>Total diff distribution (y compris remise libraire)</t>
  </si>
  <si>
    <t>diffusion classique</t>
  </si>
  <si>
    <t>différence de répartition abonnement vs diff classique</t>
  </si>
  <si>
    <t>dont % pour l'auteur</t>
  </si>
  <si>
    <t>dont % pour l'éditeur</t>
  </si>
  <si>
    <t>Conseil : ne modifier aucune donnée dans ces calculs (si modif: la faire dans l'onglet "Hypothèses")</t>
  </si>
  <si>
    <t>Commission distribution V-R</t>
  </si>
  <si>
    <t>Commission distribution V+R</t>
  </si>
  <si>
    <t>Ratio par exemplaire imprimé</t>
  </si>
  <si>
    <t>Coût de gestion des abonnements: non connu. Non comptabilisé sinon il faudrait comptabiliser ce type de frais pour tous les autres acteurs</t>
  </si>
  <si>
    <t>Transport</t>
  </si>
  <si>
    <t>Evol valeur créée (en %)</t>
  </si>
  <si>
    <t>Evol valeur créée (en €)</t>
  </si>
  <si>
    <t>Total "valeur" auteur</t>
  </si>
  <si>
    <t>Total "valeur" éditeur</t>
  </si>
  <si>
    <t>Total "valeur" diffuseur</t>
  </si>
  <si>
    <t>Total "valeur" distributeur (contrat V-R)</t>
  </si>
  <si>
    <t>Total "valeur" distributeur (contrat V+R)</t>
  </si>
  <si>
    <t>Total "valeur" libraire</t>
  </si>
  <si>
    <t>Quelle gestion du prix unique du livre inclus dans une offre d'abonnement?</t>
  </si>
  <si>
    <t>NB: on a pris en compte dans la valeur créée les éléments différenciants entre les 2 formes de vente</t>
  </si>
  <si>
    <t>fois le PPHT moyen</t>
  </si>
  <si>
    <t>Proposition :</t>
  </si>
  <si>
    <t>Le libraire achète N livres pour constituer le bouquet de l'abonnement.</t>
  </si>
  <si>
    <t>Le libraire achète N livres, les clients les revendent une seule fois et les revendent sur une plateforme type Recyclivre</t>
  </si>
  <si>
    <t>Le libraire achète N livres</t>
  </si>
  <si>
    <t>Poids moyen émissions carbone par exemplaire (G CO2eq)</t>
  </si>
  <si>
    <t>€</t>
  </si>
  <si>
    <t>km</t>
  </si>
  <si>
    <t>Kilométrage moyen distributeur / librairie (aller simple)</t>
  </si>
  <si>
    <t>Trajet du client jusqu'à la librairie (aller simple)</t>
  </si>
  <si>
    <t>Nbr de trajets jusqu'à la librairie (aller simple)</t>
  </si>
  <si>
    <t>Variation de commission entre les 2 méthodes</t>
  </si>
  <si>
    <t>Revenus distributeur</t>
  </si>
  <si>
    <t>Prix unique moyen du livre vendu via l'offre d'abonnement</t>
  </si>
  <si>
    <t>livres pendant la durée de son abonnement (1 an a priori)</t>
  </si>
  <si>
    <t>Rappel des hypothèses</t>
  </si>
  <si>
    <t>Evol Abonnement vs Diff classique (en valeur)</t>
  </si>
  <si>
    <t>Evol Abonnement vs Diff classique (en %)</t>
  </si>
  <si>
    <t>Cannibalisation (ventes manquées en neuf)</t>
  </si>
  <si>
    <t>Imprimeurs</t>
  </si>
  <si>
    <t>Transporteurs</t>
  </si>
  <si>
    <t>à recalculer !!! La perte de valeur du distrib doit se retrouver chez l'éditeur</t>
  </si>
  <si>
    <t>CA additionnel revente papier pilon (intégré dans valeur distributeur)</t>
  </si>
  <si>
    <t>Les conditions commerciales</t>
  </si>
  <si>
    <t>Calculs €</t>
  </si>
  <si>
    <t>Imprimeur</t>
  </si>
  <si>
    <t>Transporteur</t>
  </si>
  <si>
    <t>plutôt ratio par exemplaire mis en circulation</t>
  </si>
  <si>
    <t>Distributeur (V-R)</t>
  </si>
  <si>
    <t>Nbre de livres neufs supplémentaires qui auraient été commandés par le libraire pour répondre à des achats clients si l'abonnement n'existait pas: soit le prix de l'abonnement rapporté nbre de livres x nbre d'abonnés - qté livres achetés pour constituer l'abonnement</t>
  </si>
  <si>
    <t>Valeur par métier</t>
  </si>
  <si>
    <t>Valeur par exemplaire</t>
  </si>
  <si>
    <t>hyp = nbre de titres dans l'offre d'abonnement</t>
  </si>
  <si>
    <t xml:space="preserve">soit </t>
  </si>
  <si>
    <t>Chiffre d'affaires</t>
  </si>
  <si>
    <t>Marge</t>
  </si>
  <si>
    <t>Taux de 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</si>
</sst>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0.0"/>
    <numFmt numFmtId="166" formatCode="0.000"/>
    <numFmt numFmtId="167" formatCode="#,##0.00\ &quot;€&quot;"/>
    <numFmt numFmtId="168" formatCode="#,##0\ &quot;€&quot;"/>
    <numFmt numFmtId="169" formatCode="#,##0.0\ &quot;€&quot;"/>
    <numFmt numFmtId="170" formatCode="_-* #,##0.0\ [$€-40C]_-;\-* #,##0.0\ [$€-40C]_-;_-* &quot;-&quot;??\ [$€-40C]_-;_-@_-"/>
    <numFmt numFmtId="171" formatCode="0.0%"/>
    <numFmt numFmtId="172" formatCode="_-* #,##0.00\ _€_-;\-* #,##0.00\ _€_-;_-* &quot;-&quot;??\ _€_-;_-@_-"/>
    <numFmt numFmtId="173" formatCode="_-* #,##0\ _€_-;\-* #,##0\ _€_-;_-* &quot;-&quot;??\ _€_-;_-@_-"/>
    <numFmt numFmtId="174" formatCode="_-* #,##0.000\ &quot;€&quot;_-;\-* #,##0.000\ &quot;€&quot;_-;_-* &quot;-&quot;??\ &quot;€&quot;_-;_-@_-"/>
    <numFmt numFmtId="175" formatCode="_-* #,##0_-;\-* #,##0_-;_-* &quot;-&quot;??_-;_-@_-"/>
    <numFmt numFmtId="176" formatCode="_-* #,##0\ [$€-40C]_-;\-* #,##0\ [$€-40C]_-;_-* &quot;-&quot;??\ [$€-40C]_-;_-@_-"/>
    <numFmt numFmtId="177" formatCode="_-* #,##0.0\ [$€-40C]_-;\-* #,##0.0\ [$€-40C]_-;_-* &quot;-&quot;?\ [$€-40C]_-;_-@_-"/>
    <numFmt numFmtId="178" formatCode="#,##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i/>
      <sz val="8"/>
      <name val="Tahoma"/>
      <family val="2"/>
    </font>
    <font>
      <sz val="8"/>
      <color rgb="FFFF0000"/>
      <name val="Tahoma"/>
      <family val="2"/>
    </font>
    <font>
      <b/>
      <sz val="8"/>
      <color theme="0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9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Tahoma"/>
      <family val="2"/>
    </font>
    <font>
      <i/>
      <sz val="8"/>
      <color rgb="FFFF0000"/>
      <name val="Tahoma"/>
      <family val="2"/>
    </font>
    <font>
      <sz val="9"/>
      <color rgb="FF000000"/>
      <name val="Tahoma"/>
      <family val="2"/>
    </font>
    <font>
      <b/>
      <u/>
      <sz val="10"/>
      <name val="Tahoma"/>
      <family val="2"/>
    </font>
    <font>
      <sz val="9"/>
      <color rgb="FF363636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rgb="FF000000"/>
      <name val="Tahoma"/>
      <family val="2"/>
    </font>
    <font>
      <sz val="10"/>
      <color rgb="FF363636"/>
      <name val="Tahoma"/>
      <family val="2"/>
    </font>
    <font>
      <sz val="10"/>
      <color theme="0" tint="-0.34998626667073579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theme="5" tint="0.59996337778862885"/>
      </left>
      <right style="medium">
        <color theme="5" tint="0.59996337778862885"/>
      </right>
      <top style="medium">
        <color theme="5" tint="0.59996337778862885"/>
      </top>
      <bottom style="medium">
        <color theme="5" tint="0.59996337778862885"/>
      </bottom>
      <diagonal/>
    </border>
    <border>
      <left style="medium">
        <color theme="5" tint="0.59996337778862885"/>
      </left>
      <right style="medium">
        <color theme="5" tint="0.59996337778862885"/>
      </right>
      <top/>
      <bottom style="medium">
        <color theme="5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CDCDC"/>
      </left>
      <right style="medium">
        <color rgb="FFDCDCDC"/>
      </right>
      <top/>
      <bottom style="medium">
        <color rgb="FFDCDCD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17" applyNumberFormat="0" applyFill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6" fillId="0" borderId="0" xfId="0" applyFont="1"/>
    <xf numFmtId="0" fontId="0" fillId="7" borderId="0" xfId="0" applyFill="1"/>
    <xf numFmtId="1" fontId="0" fillId="0" borderId="0" xfId="0" applyNumberFormat="1"/>
    <xf numFmtId="0" fontId="0" fillId="8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0" fontId="6" fillId="7" borderId="0" xfId="0" applyFont="1" applyFill="1"/>
    <xf numFmtId="0" fontId="7" fillId="0" borderId="0" xfId="0" applyFont="1"/>
    <xf numFmtId="2" fontId="7" fillId="0" borderId="0" xfId="0" applyNumberFormat="1" applyFont="1" applyAlignment="1">
      <alignment wrapText="1"/>
    </xf>
    <xf numFmtId="6" fontId="0" fillId="0" borderId="0" xfId="0" applyNumberFormat="1"/>
    <xf numFmtId="8" fontId="0" fillId="0" borderId="0" xfId="0" applyNumberFormat="1"/>
    <xf numFmtId="0" fontId="7" fillId="7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165" fontId="0" fillId="0" borderId="0" xfId="0" applyNumberFormat="1"/>
    <xf numFmtId="167" fontId="0" fillId="0" borderId="0" xfId="0" applyNumberFormat="1"/>
    <xf numFmtId="0" fontId="2" fillId="3" borderId="0" xfId="0" applyFont="1" applyFill="1" applyAlignment="1">
      <alignment wrapText="1"/>
    </xf>
    <xf numFmtId="8" fontId="2" fillId="3" borderId="0" xfId="0" applyNumberFormat="1" applyFont="1" applyFill="1"/>
    <xf numFmtId="0" fontId="2" fillId="3" borderId="0" xfId="0" applyFont="1" applyFill="1"/>
    <xf numFmtId="0" fontId="6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7" fillId="10" borderId="0" xfId="0" applyFont="1" applyFill="1" applyAlignment="1">
      <alignment wrapText="1"/>
    </xf>
    <xf numFmtId="8" fontId="2" fillId="0" borderId="0" xfId="0" applyNumberFormat="1" applyFont="1"/>
    <xf numFmtId="8" fontId="0" fillId="10" borderId="0" xfId="0" applyNumberFormat="1" applyFill="1"/>
    <xf numFmtId="0" fontId="0" fillId="10" borderId="0" xfId="0" applyFill="1"/>
    <xf numFmtId="165" fontId="0" fillId="5" borderId="0" xfId="0" applyNumberFormat="1" applyFill="1"/>
    <xf numFmtId="0" fontId="7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8" fontId="0" fillId="7" borderId="0" xfId="0" applyNumberFormat="1" applyFill="1"/>
    <xf numFmtId="0" fontId="9" fillId="0" borderId="0" xfId="0" applyFont="1"/>
    <xf numFmtId="0" fontId="10" fillId="14" borderId="0" xfId="0" applyFont="1" applyFill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2" xfId="0" applyFont="1" applyBorder="1"/>
    <xf numFmtId="9" fontId="11" fillId="0" borderId="2" xfId="0" applyNumberFormat="1" applyFont="1" applyBorder="1"/>
    <xf numFmtId="0" fontId="9" fillId="0" borderId="0" xfId="0" applyFont="1" applyAlignment="1">
      <alignment horizontal="right"/>
    </xf>
    <xf numFmtId="0" fontId="10" fillId="13" borderId="0" xfId="0" applyFont="1" applyFill="1"/>
    <xf numFmtId="0" fontId="9" fillId="13" borderId="0" xfId="0" applyFont="1" applyFill="1"/>
    <xf numFmtId="164" fontId="9" fillId="0" borderId="2" xfId="0" applyNumberFormat="1" applyFont="1" applyBorder="1"/>
    <xf numFmtId="170" fontId="9" fillId="0" borderId="1" xfId="0" applyNumberFormat="1" applyFont="1" applyBorder="1"/>
    <xf numFmtId="164" fontId="9" fillId="0" borderId="0" xfId="0" applyNumberFormat="1" applyFont="1"/>
    <xf numFmtId="171" fontId="9" fillId="13" borderId="0" xfId="0" applyNumberFormat="1" applyFont="1" applyFill="1"/>
    <xf numFmtId="9" fontId="9" fillId="0" borderId="1" xfId="2" applyFont="1" applyBorder="1"/>
    <xf numFmtId="9" fontId="9" fillId="13" borderId="0" xfId="0" applyNumberFormat="1" applyFont="1" applyFill="1"/>
    <xf numFmtId="9" fontId="9" fillId="0" borderId="0" xfId="0" applyNumberFormat="1" applyFont="1"/>
    <xf numFmtId="164" fontId="9" fillId="13" borderId="0" xfId="0" applyNumberFormat="1" applyFont="1" applyFill="1"/>
    <xf numFmtId="164" fontId="9" fillId="0" borderId="1" xfId="0" applyNumberFormat="1" applyFont="1" applyBorder="1"/>
    <xf numFmtId="164" fontId="11" fillId="13" borderId="0" xfId="0" applyNumberFormat="1" applyFont="1" applyFill="1"/>
    <xf numFmtId="44" fontId="9" fillId="0" borderId="1" xfId="3" applyFont="1" applyBorder="1"/>
    <xf numFmtId="0" fontId="9" fillId="0" borderId="1" xfId="0" applyFont="1" applyBorder="1" applyAlignment="1">
      <alignment horizontal="left" vertical="center" wrapText="1"/>
    </xf>
    <xf numFmtId="0" fontId="12" fillId="0" borderId="0" xfId="0" applyFont="1"/>
    <xf numFmtId="0" fontId="10" fillId="0" borderId="0" xfId="0" applyFont="1"/>
    <xf numFmtId="164" fontId="9" fillId="0" borderId="0" xfId="0" applyNumberFormat="1" applyFont="1" applyAlignment="1">
      <alignment wrapText="1"/>
    </xf>
    <xf numFmtId="0" fontId="15" fillId="15" borderId="0" xfId="0" applyFont="1" applyFill="1"/>
    <xf numFmtId="0" fontId="17" fillId="0" borderId="0" xfId="0" applyFont="1"/>
    <xf numFmtId="0" fontId="17" fillId="6" borderId="9" xfId="0" applyFont="1" applyFill="1" applyBorder="1"/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9" fillId="0" borderId="0" xfId="0" applyFont="1"/>
    <xf numFmtId="0" fontId="17" fillId="9" borderId="4" xfId="0" applyFont="1" applyFill="1" applyBorder="1"/>
    <xf numFmtId="0" fontId="18" fillId="9" borderId="0" xfId="0" applyFont="1" applyFill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0" fillId="0" borderId="0" xfId="0" applyFont="1"/>
    <xf numFmtId="0" fontId="17" fillId="9" borderId="4" xfId="0" applyFont="1" applyFill="1" applyBorder="1" applyAlignment="1">
      <alignment vertical="center"/>
    </xf>
    <xf numFmtId="168" fontId="17" fillId="9" borderId="0" xfId="0" applyNumberFormat="1" applyFont="1" applyFill="1" applyAlignment="1">
      <alignment horizontal="center" vertical="center"/>
    </xf>
    <xf numFmtId="168" fontId="17" fillId="9" borderId="5" xfId="0" applyNumberFormat="1" applyFont="1" applyFill="1" applyBorder="1" applyAlignment="1">
      <alignment horizontal="center" vertical="center"/>
    </xf>
    <xf numFmtId="9" fontId="20" fillId="0" borderId="0" xfId="0" applyNumberFormat="1" applyFont="1"/>
    <xf numFmtId="169" fontId="17" fillId="0" borderId="0" xfId="0" applyNumberFormat="1" applyFont="1"/>
    <xf numFmtId="168" fontId="17" fillId="0" borderId="0" xfId="0" applyNumberFormat="1" applyFont="1"/>
    <xf numFmtId="0" fontId="19" fillId="7" borderId="0" xfId="0" applyFont="1" applyFill="1"/>
    <xf numFmtId="0" fontId="21" fillId="0" borderId="0" xfId="0" applyFont="1"/>
    <xf numFmtId="1" fontId="17" fillId="9" borderId="0" xfId="0" applyNumberFormat="1" applyFont="1" applyFill="1" applyAlignment="1">
      <alignment horizontal="center" vertical="center"/>
    </xf>
    <xf numFmtId="1" fontId="17" fillId="9" borderId="5" xfId="0" applyNumberFormat="1" applyFont="1" applyFill="1" applyBorder="1" applyAlignment="1">
      <alignment horizontal="center" vertical="center"/>
    </xf>
    <xf numFmtId="1" fontId="17" fillId="0" borderId="0" xfId="0" applyNumberFormat="1" applyFont="1"/>
    <xf numFmtId="2" fontId="17" fillId="9" borderId="0" xfId="0" applyNumberFormat="1" applyFont="1" applyFill="1" applyAlignment="1">
      <alignment horizontal="center" vertical="center"/>
    </xf>
    <xf numFmtId="2" fontId="17" fillId="9" borderId="5" xfId="0" applyNumberFormat="1" applyFont="1" applyFill="1" applyBorder="1" applyAlignment="1">
      <alignment horizontal="center" vertical="center"/>
    </xf>
    <xf numFmtId="167" fontId="17" fillId="9" borderId="0" xfId="0" applyNumberFormat="1" applyFont="1" applyFill="1" applyAlignment="1">
      <alignment horizontal="center" vertical="center"/>
    </xf>
    <xf numFmtId="167" fontId="17" fillId="9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7" fillId="9" borderId="6" xfId="0" applyFont="1" applyFill="1" applyBorder="1"/>
    <xf numFmtId="0" fontId="17" fillId="9" borderId="7" xfId="0" applyFont="1" applyFill="1" applyBorder="1"/>
    <xf numFmtId="0" fontId="17" fillId="9" borderId="8" xfId="0" applyFont="1" applyFill="1" applyBorder="1"/>
    <xf numFmtId="9" fontId="17" fillId="0" borderId="0" xfId="2" applyFont="1"/>
    <xf numFmtId="0" fontId="16" fillId="0" borderId="0" xfId="0" applyFont="1"/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3" fillId="12" borderId="15" xfId="0" applyFont="1" applyFill="1" applyBorder="1"/>
    <xf numFmtId="164" fontId="14" fillId="12" borderId="16" xfId="0" applyNumberFormat="1" applyFont="1" applyFill="1" applyBorder="1"/>
    <xf numFmtId="0" fontId="14" fillId="12" borderId="16" xfId="0" applyFont="1" applyFill="1" applyBorder="1"/>
    <xf numFmtId="0" fontId="14" fillId="12" borderId="13" xfId="0" applyFont="1" applyFill="1" applyBorder="1"/>
    <xf numFmtId="0" fontId="9" fillId="0" borderId="4" xfId="0" applyFont="1" applyBorder="1"/>
    <xf numFmtId="9" fontId="9" fillId="0" borderId="5" xfId="2" applyFont="1" applyBorder="1"/>
    <xf numFmtId="0" fontId="9" fillId="2" borderId="4" xfId="0" applyFont="1" applyFill="1" applyBorder="1"/>
    <xf numFmtId="164" fontId="9" fillId="2" borderId="0" xfId="0" applyNumberFormat="1" applyFont="1" applyFill="1"/>
    <xf numFmtId="0" fontId="9" fillId="4" borderId="6" xfId="0" applyFont="1" applyFill="1" applyBorder="1"/>
    <xf numFmtId="164" fontId="9" fillId="4" borderId="7" xfId="0" applyNumberFormat="1" applyFont="1" applyFill="1" applyBorder="1"/>
    <xf numFmtId="164" fontId="9" fillId="0" borderId="7" xfId="0" applyNumberFormat="1" applyFont="1" applyBorder="1"/>
    <xf numFmtId="9" fontId="9" fillId="0" borderId="8" xfId="2" applyFont="1" applyBorder="1"/>
    <xf numFmtId="0" fontId="14" fillId="12" borderId="5" xfId="0" applyFont="1" applyFill="1" applyBorder="1"/>
    <xf numFmtId="9" fontId="9" fillId="0" borderId="16" xfId="2" applyFont="1" applyFill="1" applyBorder="1"/>
    <xf numFmtId="9" fontId="9" fillId="0" borderId="0" xfId="2" applyFont="1" applyFill="1" applyBorder="1"/>
    <xf numFmtId="0" fontId="12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23" fillId="0" borderId="17" xfId="5" applyFont="1"/>
    <xf numFmtId="0" fontId="1" fillId="0" borderId="0" xfId="6"/>
    <xf numFmtId="171" fontId="25" fillId="16" borderId="18" xfId="6" applyNumberFormat="1" applyFont="1" applyFill="1" applyBorder="1"/>
    <xf numFmtId="10" fontId="1" fillId="0" borderId="0" xfId="6" applyNumberFormat="1"/>
    <xf numFmtId="167" fontId="25" fillId="16" borderId="18" xfId="6" applyNumberFormat="1" applyFont="1" applyFill="1" applyBorder="1"/>
    <xf numFmtId="173" fontId="1" fillId="17" borderId="19" xfId="7" applyNumberFormat="1" applyFont="1" applyFill="1" applyBorder="1"/>
    <xf numFmtId="173" fontId="1" fillId="0" borderId="0" xfId="6" applyNumberFormat="1"/>
    <xf numFmtId="9" fontId="25" fillId="16" borderId="18" xfId="6" applyNumberFormat="1" applyFont="1" applyFill="1" applyBorder="1"/>
    <xf numFmtId="9" fontId="1" fillId="17" borderId="19" xfId="6" applyNumberFormat="1" applyFill="1" applyBorder="1"/>
    <xf numFmtId="0" fontId="26" fillId="0" borderId="0" xfId="6" applyFont="1"/>
    <xf numFmtId="44" fontId="1" fillId="0" borderId="0" xfId="6" applyNumberFormat="1"/>
    <xf numFmtId="0" fontId="27" fillId="0" borderId="0" xfId="6" applyFont="1"/>
    <xf numFmtId="174" fontId="1" fillId="0" borderId="0" xfId="6" applyNumberFormat="1"/>
    <xf numFmtId="0" fontId="1" fillId="0" borderId="0" xfId="6" applyAlignment="1">
      <alignment wrapText="1"/>
    </xf>
    <xf numFmtId="0" fontId="28" fillId="0" borderId="20" xfId="6" applyFont="1" applyBorder="1" applyAlignment="1">
      <alignment horizontal="center" wrapText="1" readingOrder="1"/>
    </xf>
    <xf numFmtId="0" fontId="29" fillId="0" borderId="0" xfId="6" applyFont="1"/>
    <xf numFmtId="0" fontId="28" fillId="0" borderId="21" xfId="6" applyFont="1" applyBorder="1" applyAlignment="1">
      <alignment horizontal="center" wrapText="1" readingOrder="1"/>
    </xf>
    <xf numFmtId="0" fontId="30" fillId="0" borderId="21" xfId="6" applyFont="1" applyBorder="1" applyAlignment="1">
      <alignment horizontal="left" wrapText="1" readingOrder="1"/>
    </xf>
    <xf numFmtId="9" fontId="29" fillId="0" borderId="23" xfId="8" applyFont="1" applyBorder="1"/>
    <xf numFmtId="0" fontId="30" fillId="0" borderId="24" xfId="6" applyFont="1" applyBorder="1" applyAlignment="1">
      <alignment horizontal="left" wrapText="1" readingOrder="1"/>
    </xf>
    <xf numFmtId="9" fontId="29" fillId="0" borderId="22" xfId="8" applyFont="1" applyBorder="1"/>
    <xf numFmtId="0" fontId="32" fillId="0" borderId="24" xfId="6" applyFont="1" applyBorder="1" applyAlignment="1">
      <alignment horizontal="right" wrapText="1" readingOrder="1"/>
    </xf>
    <xf numFmtId="171" fontId="30" fillId="0" borderId="24" xfId="6" applyNumberFormat="1" applyFont="1" applyBorder="1" applyAlignment="1">
      <alignment horizontal="right" vertical="center" wrapText="1" readingOrder="1"/>
    </xf>
    <xf numFmtId="0" fontId="30" fillId="0" borderId="25" xfId="6" applyFont="1" applyBorder="1" applyAlignment="1">
      <alignment horizontal="left" wrapText="1" readingOrder="1"/>
    </xf>
    <xf numFmtId="9" fontId="29" fillId="0" borderId="26" xfId="8" applyFont="1" applyBorder="1"/>
    <xf numFmtId="0" fontId="31" fillId="0" borderId="27" xfId="6" applyFont="1" applyBorder="1" applyAlignment="1">
      <alignment wrapText="1"/>
    </xf>
    <xf numFmtId="0" fontId="31" fillId="0" borderId="27" xfId="6" applyFont="1" applyBorder="1" applyAlignment="1">
      <alignment horizontal="right" wrapText="1"/>
    </xf>
    <xf numFmtId="10" fontId="28" fillId="16" borderId="24" xfId="6" applyNumberFormat="1" applyFont="1" applyFill="1" applyBorder="1" applyAlignment="1">
      <alignment horizontal="right" wrapText="1" readingOrder="1"/>
    </xf>
    <xf numFmtId="171" fontId="29" fillId="0" borderId="28" xfId="6" applyNumberFormat="1" applyFont="1" applyBorder="1"/>
    <xf numFmtId="9" fontId="29" fillId="0" borderId="29" xfId="8" applyFont="1" applyBorder="1"/>
    <xf numFmtId="171" fontId="34" fillId="0" borderId="24" xfId="6" applyNumberFormat="1" applyFont="1" applyBorder="1" applyAlignment="1">
      <alignment horizontal="right" wrapText="1" readingOrder="1"/>
    </xf>
    <xf numFmtId="171" fontId="28" fillId="16" borderId="24" xfId="6" applyNumberFormat="1" applyFont="1" applyFill="1" applyBorder="1" applyAlignment="1">
      <alignment horizontal="right" wrapText="1" readingOrder="1"/>
    </xf>
    <xf numFmtId="9" fontId="29" fillId="0" borderId="30" xfId="8" applyFont="1" applyBorder="1"/>
    <xf numFmtId="0" fontId="29" fillId="0" borderId="31" xfId="6" applyFont="1" applyBorder="1"/>
    <xf numFmtId="171" fontId="34" fillId="0" borderId="25" xfId="6" applyNumberFormat="1" applyFont="1" applyBorder="1" applyAlignment="1">
      <alignment horizontal="right" wrapText="1" readingOrder="1"/>
    </xf>
    <xf numFmtId="171" fontId="28" fillId="16" borderId="25" xfId="6" applyNumberFormat="1" applyFont="1" applyFill="1" applyBorder="1" applyAlignment="1">
      <alignment horizontal="right" wrapText="1" readingOrder="1"/>
    </xf>
    <xf numFmtId="0" fontId="29" fillId="0" borderId="32" xfId="6" applyFont="1" applyBorder="1"/>
    <xf numFmtId="0" fontId="29" fillId="0" borderId="33" xfId="6" applyFont="1" applyBorder="1"/>
    <xf numFmtId="0" fontId="28" fillId="19" borderId="21" xfId="6" applyFont="1" applyFill="1" applyBorder="1" applyAlignment="1">
      <alignment horizontal="center" vertical="top" wrapText="1" readingOrder="1"/>
    </xf>
    <xf numFmtId="0" fontId="28" fillId="20" borderId="20" xfId="6" applyFont="1" applyFill="1" applyBorder="1" applyAlignment="1">
      <alignment horizontal="left" vertical="center" wrapText="1" readingOrder="1"/>
    </xf>
    <xf numFmtId="0" fontId="30" fillId="0" borderId="23" xfId="6" applyFont="1" applyBorder="1" applyAlignment="1">
      <alignment horizontal="right" vertical="center" wrapText="1" readingOrder="1"/>
    </xf>
    <xf numFmtId="0" fontId="30" fillId="0" borderId="22" xfId="6" applyFont="1" applyBorder="1" applyAlignment="1">
      <alignment horizontal="right" vertical="center" wrapText="1" readingOrder="1"/>
    </xf>
    <xf numFmtId="0" fontId="30" fillId="0" borderId="26" xfId="6" applyFont="1" applyBorder="1" applyAlignment="1">
      <alignment horizontal="right" vertical="center" wrapText="1" readingOrder="1"/>
    </xf>
    <xf numFmtId="9" fontId="29" fillId="0" borderId="32" xfId="8" applyFont="1" applyBorder="1"/>
    <xf numFmtId="164" fontId="1" fillId="17" borderId="19" xfId="7" applyNumberFormat="1" applyFont="1" applyFill="1" applyBorder="1"/>
    <xf numFmtId="175" fontId="25" fillId="16" borderId="18" xfId="4" applyNumberFormat="1" applyFont="1" applyFill="1" applyBorder="1"/>
    <xf numFmtId="164" fontId="31" fillId="0" borderId="22" xfId="6" applyNumberFormat="1" applyFont="1" applyBorder="1"/>
    <xf numFmtId="164" fontId="31" fillId="18" borderId="22" xfId="6" applyNumberFormat="1" applyFont="1" applyFill="1" applyBorder="1"/>
    <xf numFmtId="164" fontId="35" fillId="20" borderId="1" xfId="6" applyNumberFormat="1" applyFont="1" applyFill="1" applyBorder="1"/>
    <xf numFmtId="164" fontId="31" fillId="18" borderId="36" xfId="6" applyNumberFormat="1" applyFont="1" applyFill="1" applyBorder="1"/>
    <xf numFmtId="164" fontId="31" fillId="18" borderId="24" xfId="6" applyNumberFormat="1" applyFont="1" applyFill="1" applyBorder="1"/>
    <xf numFmtId="164" fontId="31" fillId="18" borderId="25" xfId="6" applyNumberFormat="1" applyFont="1" applyFill="1" applyBorder="1"/>
    <xf numFmtId="0" fontId="9" fillId="0" borderId="1" xfId="0" applyFont="1" applyBorder="1" applyAlignment="1">
      <alignment horizontal="right"/>
    </xf>
    <xf numFmtId="171" fontId="9" fillId="0" borderId="1" xfId="2" applyNumberFormat="1" applyFont="1" applyBorder="1"/>
    <xf numFmtId="0" fontId="9" fillId="7" borderId="0" xfId="0" applyFont="1" applyFill="1"/>
    <xf numFmtId="9" fontId="11" fillId="0" borderId="0" xfId="2" applyFont="1" applyFill="1" applyBorder="1"/>
    <xf numFmtId="0" fontId="13" fillId="21" borderId="0" xfId="0" applyFont="1" applyFill="1" applyAlignment="1">
      <alignment horizontal="center" vertical="center"/>
    </xf>
    <xf numFmtId="0" fontId="9" fillId="2" borderId="0" xfId="0" applyFont="1" applyFill="1"/>
    <xf numFmtId="10" fontId="33" fillId="0" borderId="24" xfId="6" applyNumberFormat="1" applyFont="1" applyBorder="1" applyAlignment="1">
      <alignment horizontal="right" wrapText="1" readingOrder="1"/>
    </xf>
    <xf numFmtId="176" fontId="10" fillId="0" borderId="1" xfId="0" applyNumberFormat="1" applyFont="1" applyBorder="1" applyAlignment="1">
      <alignment horizontal="center"/>
    </xf>
    <xf numFmtId="0" fontId="12" fillId="0" borderId="4" xfId="0" applyFont="1" applyBorder="1"/>
    <xf numFmtId="0" fontId="9" fillId="0" borderId="2" xfId="0" applyFont="1" applyBorder="1" applyAlignment="1">
      <alignment horizontal="left" vertical="center" wrapText="1"/>
    </xf>
    <xf numFmtId="171" fontId="9" fillId="0" borderId="2" xfId="2" applyNumberFormat="1" applyFont="1" applyBorder="1"/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9" fontId="10" fillId="0" borderId="39" xfId="2" applyFont="1" applyBorder="1"/>
    <xf numFmtId="176" fontId="10" fillId="0" borderId="40" xfId="0" applyNumberFormat="1" applyFont="1" applyBorder="1"/>
    <xf numFmtId="0" fontId="9" fillId="0" borderId="39" xfId="0" applyFont="1" applyBorder="1"/>
    <xf numFmtId="0" fontId="9" fillId="0" borderId="40" xfId="0" applyFont="1" applyBorder="1"/>
    <xf numFmtId="176" fontId="9" fillId="0" borderId="40" xfId="0" applyNumberFormat="1" applyFont="1" applyBorder="1"/>
    <xf numFmtId="176" fontId="9" fillId="0" borderId="42" xfId="0" applyNumberFormat="1" applyFont="1" applyBorder="1"/>
    <xf numFmtId="9" fontId="9" fillId="0" borderId="39" xfId="2" applyFont="1" applyBorder="1" applyAlignment="1">
      <alignment horizontal="right"/>
    </xf>
    <xf numFmtId="0" fontId="11" fillId="0" borderId="0" xfId="0" applyFont="1" applyAlignment="1">
      <alignment horizontal="right"/>
    </xf>
    <xf numFmtId="10" fontId="21" fillId="0" borderId="0" xfId="0" applyNumberFormat="1" applyFont="1"/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9" fontId="2" fillId="0" borderId="0" xfId="2" applyFont="1" applyAlignment="1">
      <alignment horizontal="center" vertical="center" wrapText="1"/>
    </xf>
    <xf numFmtId="1" fontId="0" fillId="7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64" fontId="36" fillId="10" borderId="2" xfId="6" applyNumberFormat="1" applyFont="1" applyFill="1" applyBorder="1"/>
    <xf numFmtId="9" fontId="36" fillId="10" borderId="3" xfId="8" applyFont="1" applyFill="1" applyBorder="1"/>
    <xf numFmtId="164" fontId="31" fillId="0" borderId="23" xfId="6" applyNumberFormat="1" applyFont="1" applyBorder="1"/>
    <xf numFmtId="164" fontId="31" fillId="0" borderId="26" xfId="6" applyNumberFormat="1" applyFont="1" applyBorder="1"/>
    <xf numFmtId="164" fontId="17" fillId="0" borderId="0" xfId="0" applyNumberFormat="1" applyFont="1"/>
    <xf numFmtId="0" fontId="10" fillId="5" borderId="0" xfId="0" applyFont="1" applyFill="1"/>
    <xf numFmtId="1" fontId="9" fillId="0" borderId="1" xfId="0" applyNumberFormat="1" applyFont="1" applyBorder="1"/>
    <xf numFmtId="177" fontId="9" fillId="0" borderId="0" xfId="0" applyNumberFormat="1" applyFont="1"/>
    <xf numFmtId="0" fontId="9" fillId="0" borderId="15" xfId="0" applyFont="1" applyBorder="1"/>
    <xf numFmtId="164" fontId="9" fillId="0" borderId="16" xfId="0" applyNumberFormat="1" applyFont="1" applyBorder="1"/>
    <xf numFmtId="0" fontId="9" fillId="0" borderId="16" xfId="0" applyFont="1" applyBorder="1"/>
    <xf numFmtId="0" fontId="9" fillId="0" borderId="13" xfId="0" applyFont="1" applyBorder="1"/>
    <xf numFmtId="9" fontId="9" fillId="0" borderId="10" xfId="2" applyFont="1" applyBorder="1"/>
    <xf numFmtId="171" fontId="9" fillId="0" borderId="0" xfId="2" applyNumberFormat="1" applyFont="1"/>
    <xf numFmtId="0" fontId="12" fillId="0" borderId="16" xfId="0" applyFont="1" applyBorder="1"/>
    <xf numFmtId="171" fontId="11" fillId="0" borderId="0" xfId="2" applyNumberFormat="1" applyFont="1"/>
    <xf numFmtId="171" fontId="9" fillId="0" borderId="23" xfId="2" applyNumberFormat="1" applyFont="1" applyBorder="1"/>
    <xf numFmtId="171" fontId="9" fillId="0" borderId="28" xfId="2" applyNumberFormat="1" applyFont="1" applyBorder="1"/>
    <xf numFmtId="9" fontId="9" fillId="0" borderId="43" xfId="2" applyFont="1" applyBorder="1" applyAlignment="1">
      <alignment horizontal="right"/>
    </xf>
    <xf numFmtId="176" fontId="9" fillId="0" borderId="44" xfId="0" applyNumberFormat="1" applyFont="1" applyBorder="1"/>
    <xf numFmtId="9" fontId="9" fillId="11" borderId="41" xfId="2" applyFont="1" applyFill="1" applyBorder="1" applyAlignment="1">
      <alignment horizontal="right"/>
    </xf>
    <xf numFmtId="0" fontId="37" fillId="5" borderId="0" xfId="0" applyFont="1" applyFill="1"/>
    <xf numFmtId="164" fontId="12" fillId="0" borderId="0" xfId="0" applyNumberFormat="1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176" fontId="37" fillId="0" borderId="1" xfId="0" applyNumberFormat="1" applyFont="1" applyBorder="1" applyAlignment="1">
      <alignment horizontal="center"/>
    </xf>
    <xf numFmtId="171" fontId="12" fillId="0" borderId="2" xfId="2" applyNumberFormat="1" applyFont="1" applyBorder="1"/>
    <xf numFmtId="9" fontId="37" fillId="0" borderId="39" xfId="2" applyFont="1" applyBorder="1"/>
    <xf numFmtId="176" fontId="37" fillId="0" borderId="40" xfId="0" applyNumberFormat="1" applyFont="1" applyBorder="1"/>
    <xf numFmtId="0" fontId="12" fillId="0" borderId="1" xfId="0" applyFont="1" applyBorder="1"/>
    <xf numFmtId="0" fontId="12" fillId="0" borderId="39" xfId="0" applyFont="1" applyBorder="1"/>
    <xf numFmtId="0" fontId="12" fillId="0" borderId="40" xfId="0" applyFont="1" applyBorder="1"/>
    <xf numFmtId="171" fontId="12" fillId="0" borderId="1" xfId="2" applyNumberFormat="1" applyFont="1" applyBorder="1" applyAlignment="1">
      <alignment horizontal="right"/>
    </xf>
    <xf numFmtId="9" fontId="12" fillId="0" borderId="39" xfId="2" applyFont="1" applyBorder="1" applyAlignment="1">
      <alignment horizontal="right"/>
    </xf>
    <xf numFmtId="176" fontId="12" fillId="0" borderId="40" xfId="0" applyNumberFormat="1" applyFont="1" applyBorder="1"/>
    <xf numFmtId="171" fontId="12" fillId="0" borderId="23" xfId="2" applyNumberFormat="1" applyFont="1" applyBorder="1" applyAlignment="1">
      <alignment horizontal="right"/>
    </xf>
    <xf numFmtId="171" fontId="12" fillId="0" borderId="28" xfId="2" applyNumberFormat="1" applyFont="1" applyBorder="1"/>
    <xf numFmtId="9" fontId="12" fillId="0" borderId="43" xfId="2" applyFont="1" applyBorder="1" applyAlignment="1">
      <alignment horizontal="right"/>
    </xf>
    <xf numFmtId="176" fontId="12" fillId="0" borderId="44" xfId="0" applyNumberFormat="1" applyFont="1" applyBorder="1"/>
    <xf numFmtId="0" fontId="12" fillId="0" borderId="1" xfId="0" applyFont="1" applyBorder="1" applyAlignment="1">
      <alignment horizontal="right"/>
    </xf>
    <xf numFmtId="171" fontId="12" fillId="0" borderId="1" xfId="2" applyNumberFormat="1" applyFont="1" applyBorder="1"/>
    <xf numFmtId="9" fontId="12" fillId="0" borderId="1" xfId="0" applyNumberFormat="1" applyFont="1" applyBorder="1"/>
    <xf numFmtId="176" fontId="12" fillId="0" borderId="1" xfId="0" applyNumberFormat="1" applyFont="1" applyBorder="1"/>
    <xf numFmtId="0" fontId="12" fillId="11" borderId="1" xfId="0" applyFont="1" applyFill="1" applyBorder="1"/>
    <xf numFmtId="3" fontId="39" fillId="22" borderId="45" xfId="0" applyNumberFormat="1" applyFont="1" applyFill="1" applyBorder="1" applyAlignment="1">
      <alignment horizontal="right" vertical="center"/>
    </xf>
    <xf numFmtId="164" fontId="39" fillId="22" borderId="45" xfId="0" applyNumberFormat="1" applyFont="1" applyFill="1" applyBorder="1" applyAlignment="1">
      <alignment horizontal="right" vertical="center"/>
    </xf>
    <xf numFmtId="0" fontId="40" fillId="0" borderId="0" xfId="0" applyFont="1"/>
    <xf numFmtId="170" fontId="17" fillId="0" borderId="0" xfId="0" applyNumberFormat="1" applyFont="1"/>
    <xf numFmtId="171" fontId="17" fillId="0" borderId="0" xfId="0" applyNumberFormat="1" applyFont="1"/>
    <xf numFmtId="0" fontId="41" fillId="23" borderId="45" xfId="0" applyFont="1" applyFill="1" applyBorder="1" applyAlignment="1">
      <alignment horizontal="left" vertical="center" wrapText="1"/>
    </xf>
    <xf numFmtId="0" fontId="9" fillId="0" borderId="5" xfId="0" applyFont="1" applyBorder="1"/>
    <xf numFmtId="9" fontId="42" fillId="7" borderId="46" xfId="2" applyFont="1" applyFill="1" applyBorder="1"/>
    <xf numFmtId="9" fontId="39" fillId="22" borderId="45" xfId="2" applyFont="1" applyFill="1" applyBorder="1" applyAlignment="1">
      <alignment horizontal="right" vertical="center"/>
    </xf>
    <xf numFmtId="9" fontId="42" fillId="7" borderId="46" xfId="2" applyFont="1" applyFill="1" applyBorder="1" applyAlignment="1">
      <alignment horizontal="right"/>
    </xf>
    <xf numFmtId="3" fontId="42" fillId="7" borderId="46" xfId="2" applyNumberFormat="1" applyFont="1" applyFill="1" applyBorder="1"/>
    <xf numFmtId="178" fontId="42" fillId="7" borderId="46" xfId="2" applyNumberFormat="1" applyFont="1" applyFill="1" applyBorder="1"/>
    <xf numFmtId="0" fontId="41" fillId="23" borderId="45" xfId="0" applyFont="1" applyFill="1" applyBorder="1" applyAlignment="1">
      <alignment horizontal="left" vertical="center" wrapText="1" indent="2"/>
    </xf>
    <xf numFmtId="0" fontId="17" fillId="0" borderId="48" xfId="0" applyFont="1" applyBorder="1"/>
    <xf numFmtId="0" fontId="17" fillId="0" borderId="11" xfId="0" applyFont="1" applyBorder="1"/>
    <xf numFmtId="3" fontId="43" fillId="7" borderId="46" xfId="2" applyNumberFormat="1" applyFont="1" applyFill="1" applyBorder="1"/>
    <xf numFmtId="0" fontId="9" fillId="0" borderId="6" xfId="0" applyFont="1" applyBorder="1"/>
    <xf numFmtId="0" fontId="17" fillId="11" borderId="0" xfId="0" applyFont="1" applyFill="1"/>
    <xf numFmtId="0" fontId="17" fillId="11" borderId="0" xfId="0" applyFont="1" applyFill="1" applyAlignment="1">
      <alignment horizontal="right"/>
    </xf>
    <xf numFmtId="1" fontId="17" fillId="11" borderId="0" xfId="0" applyNumberFormat="1" applyFont="1" applyFill="1"/>
    <xf numFmtId="9" fontId="17" fillId="0" borderId="0" xfId="0" applyNumberFormat="1" applyFont="1"/>
    <xf numFmtId="10" fontId="17" fillId="0" borderId="0" xfId="0" applyNumberFormat="1" applyFont="1"/>
    <xf numFmtId="164" fontId="44" fillId="22" borderId="4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167" fontId="17" fillId="0" borderId="0" xfId="4" applyNumberFormat="1" applyFont="1" applyAlignment="1">
      <alignment horizontal="left" vertical="top"/>
    </xf>
    <xf numFmtId="167" fontId="44" fillId="22" borderId="45" xfId="0" applyNumberFormat="1" applyFont="1" applyFill="1" applyBorder="1" applyAlignment="1">
      <alignment horizontal="right" vertical="center"/>
    </xf>
    <xf numFmtId="0" fontId="17" fillId="0" borderId="48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5" fillId="2" borderId="45" xfId="0" applyFont="1" applyFill="1" applyBorder="1" applyAlignment="1">
      <alignment horizontal="left" vertical="center" wrapText="1"/>
    </xf>
    <xf numFmtId="176" fontId="44" fillId="22" borderId="49" xfId="0" applyNumberFormat="1" applyFont="1" applyFill="1" applyBorder="1" applyAlignment="1">
      <alignment horizontal="right" vertical="center"/>
    </xf>
    <xf numFmtId="9" fontId="46" fillId="0" borderId="0" xfId="0" applyNumberFormat="1" applyFont="1"/>
    <xf numFmtId="9" fontId="44" fillId="22" borderId="49" xfId="2" applyFont="1" applyFill="1" applyBorder="1" applyAlignment="1">
      <alignment horizontal="right" vertical="center"/>
    </xf>
    <xf numFmtId="170" fontId="44" fillId="22" borderId="49" xfId="0" applyNumberFormat="1" applyFont="1" applyFill="1" applyBorder="1" applyAlignment="1">
      <alignment horizontal="right" vertical="center"/>
    </xf>
    <xf numFmtId="176" fontId="44" fillId="22" borderId="45" xfId="0" applyNumberFormat="1" applyFont="1" applyFill="1" applyBorder="1" applyAlignment="1">
      <alignment horizontal="right" vertical="center"/>
    </xf>
    <xf numFmtId="9" fontId="44" fillId="22" borderId="45" xfId="2" applyFont="1" applyFill="1" applyBorder="1" applyAlignment="1">
      <alignment horizontal="right" vertical="center"/>
    </xf>
    <xf numFmtId="170" fontId="44" fillId="22" borderId="45" xfId="0" applyNumberFormat="1" applyFont="1" applyFill="1" applyBorder="1" applyAlignment="1">
      <alignment horizontal="right" vertical="center"/>
    </xf>
    <xf numFmtId="9" fontId="17" fillId="7" borderId="47" xfId="2" applyFont="1" applyFill="1" applyBorder="1"/>
    <xf numFmtId="9" fontId="17" fillId="7" borderId="46" xfId="2" applyFont="1" applyFill="1" applyBorder="1"/>
    <xf numFmtId="3" fontId="44" fillId="22" borderId="45" xfId="0" applyNumberFormat="1" applyFont="1" applyFill="1" applyBorder="1" applyAlignment="1">
      <alignment horizontal="right" vertical="center"/>
    </xf>
    <xf numFmtId="9" fontId="18" fillId="17" borderId="15" xfId="0" applyNumberFormat="1" applyFont="1" applyFill="1" applyBorder="1"/>
    <xf numFmtId="0" fontId="17" fillId="17" borderId="13" xfId="0" applyFont="1" applyFill="1" applyBorder="1"/>
    <xf numFmtId="0" fontId="17" fillId="17" borderId="4" xfId="0" applyFont="1" applyFill="1" applyBorder="1"/>
    <xf numFmtId="176" fontId="17" fillId="17" borderId="5" xfId="0" applyNumberFormat="1" applyFont="1" applyFill="1" applyBorder="1"/>
    <xf numFmtId="0" fontId="17" fillId="17" borderId="6" xfId="0" applyFont="1" applyFill="1" applyBorder="1"/>
    <xf numFmtId="9" fontId="18" fillId="17" borderId="8" xfId="2" applyFont="1" applyFill="1" applyBorder="1"/>
    <xf numFmtId="0" fontId="9" fillId="0" borderId="28" xfId="0" applyFont="1" applyBorder="1" applyAlignment="1">
      <alignment horizontal="right"/>
    </xf>
    <xf numFmtId="0" fontId="9" fillId="0" borderId="29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38" fillId="0" borderId="2" xfId="0" applyFont="1" applyBorder="1" applyAlignment="1">
      <alignment horizontal="right"/>
    </xf>
    <xf numFmtId="0" fontId="38" fillId="0" borderId="3" xfId="0" applyFont="1" applyBorder="1" applyAlignment="1">
      <alignment horizontal="right"/>
    </xf>
    <xf numFmtId="0" fontId="28" fillId="0" borderId="34" xfId="6" applyFont="1" applyBorder="1" applyAlignment="1">
      <alignment horizontal="center" wrapText="1" readingOrder="1"/>
    </xf>
    <xf numFmtId="0" fontId="28" fillId="0" borderId="35" xfId="6" applyFont="1" applyBorder="1" applyAlignment="1">
      <alignment horizontal="center" wrapText="1" readingOrder="1"/>
    </xf>
    <xf numFmtId="0" fontId="7" fillId="7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 wrapText="1"/>
    </xf>
    <xf numFmtId="0" fontId="7" fillId="7" borderId="0" xfId="0" applyFont="1" applyFill="1" applyAlignment="1">
      <alignment horizontal="left"/>
    </xf>
  </cellXfs>
  <cellStyles count="9">
    <cellStyle name="Cellule liée" xfId="5" builtinId="24"/>
    <cellStyle name="Euro" xfId="1" xr:uid="{00000000-0005-0000-0000-000000000000}"/>
    <cellStyle name="Milliers" xfId="4" builtinId="3"/>
    <cellStyle name="Milliers 2" xfId="7" xr:uid="{4218E097-19E3-4D97-98BD-7131D85B549D}"/>
    <cellStyle name="Monétaire" xfId="3" builtinId="4"/>
    <cellStyle name="Normal" xfId="0" builtinId="0"/>
    <cellStyle name="Normal 2" xfId="6" xr:uid="{B26E5283-92A3-4691-AC12-83D6A87441FD}"/>
    <cellStyle name="Pourcentage" xfId="2" builtinId="5"/>
    <cellStyle name="Pourcentage 2" xfId="8" xr:uid="{D71C8F93-A572-40DE-9491-556499B5F809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FFFFCC"/>
      <color rgb="FF3366FF"/>
      <color rgb="FFFFCCFF"/>
      <color rgb="FF74CACA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Hypothèses!$G$1</c:f>
              <c:strCache>
                <c:ptCount val="1"/>
                <c:pt idx="0">
                  <c:v>Abonnement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Hypothèses!$F$2:$F$8</c15:sqref>
                  </c15:fullRef>
                </c:ext>
              </c:extLst>
              <c:f>(Hypothèses!$F$2:$F$3,Hypothèses!$F$5:$F$6,Hypothèses!$F$8)</c:f>
              <c:strCache>
                <c:ptCount val="5"/>
                <c:pt idx="0">
                  <c:v>Auteur</c:v>
                </c:pt>
                <c:pt idx="1">
                  <c:v>Editeur</c:v>
                </c:pt>
                <c:pt idx="2">
                  <c:v>Diffuseur</c:v>
                </c:pt>
                <c:pt idx="3">
                  <c:v>Distributeur (V-R)</c:v>
                </c:pt>
                <c:pt idx="4">
                  <c:v>Libraire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Hypothèses!$G$2:$G$8</c15:sqref>
                  </c15:fullRef>
                </c:ext>
              </c:extLst>
              <c:f>(Hypothèses!$G$2:$G$3,Hypothèses!$G$5:$G$6,Hypothèses!$G$8)</c:f>
              <c:numCache>
                <c:formatCode>_-* #\ ##0\ [$€-40C]_-;\-* #\ ##0\ [$€-40C]_-;_-* "-"??\ [$€-40C]_-;_-@_-</c:formatCode>
                <c:ptCount val="5"/>
                <c:pt idx="0">
                  <c:v>179.94367999999997</c:v>
                </c:pt>
                <c:pt idx="1">
                  <c:v>401.03528000000006</c:v>
                </c:pt>
                <c:pt idx="2">
                  <c:v>98.406700000000001</c:v>
                </c:pt>
                <c:pt idx="3">
                  <c:v>84.34859999999999</c:v>
                </c:pt>
                <c:pt idx="4">
                  <c:v>601.33522749999986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5-49B2-BCDD-302B47424E92}"/>
            </c:ext>
          </c:extLst>
        </c:ser>
        <c:ser>
          <c:idx val="1"/>
          <c:order val="1"/>
          <c:tx>
            <c:strRef>
              <c:f>Hypothèses!$H$1</c:f>
              <c:strCache>
                <c:ptCount val="1"/>
                <c:pt idx="0">
                  <c:v>Diffusion classique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Hypothèses!$F$2:$F$8</c15:sqref>
                  </c15:fullRef>
                </c:ext>
              </c:extLst>
              <c:f>(Hypothèses!$F$2:$F$3,Hypothèses!$F$5:$F$6,Hypothèses!$F$8)</c:f>
              <c:strCache>
                <c:ptCount val="5"/>
                <c:pt idx="0">
                  <c:v>Auteur</c:v>
                </c:pt>
                <c:pt idx="1">
                  <c:v>Editeur</c:v>
                </c:pt>
                <c:pt idx="2">
                  <c:v>Diffuseur</c:v>
                </c:pt>
                <c:pt idx="3">
                  <c:v>Distributeur (V-R)</c:v>
                </c:pt>
                <c:pt idx="4">
                  <c:v>Libraire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Hypothèses!$H$2:$H$8</c15:sqref>
                  </c15:fullRef>
                </c:ext>
              </c:extLst>
              <c:f>(Hypothèses!$H$2:$H$3,Hypothèses!$H$5:$H$6,Hypothèses!$H$8)</c:f>
              <c:numCache>
                <c:formatCode>_-* #\ ##0\ [$€-40C]_-;\-* #\ ##0\ [$€-40C]_-;_-* "-"??\ [$€-40C]_-;_-@_-</c:formatCode>
                <c:ptCount val="5"/>
                <c:pt idx="0">
                  <c:v>129.03855999999999</c:v>
                </c:pt>
                <c:pt idx="1">
                  <c:v>453.24149176470587</c:v>
                </c:pt>
                <c:pt idx="2">
                  <c:v>112.90874000000001</c:v>
                </c:pt>
                <c:pt idx="3">
                  <c:v>96.984237529411757</c:v>
                </c:pt>
                <c:pt idx="4">
                  <c:v>509.98695588235313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3D5-49B2-BCDD-302B47424E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33903048"/>
        <c:axId val="833901736"/>
        <c:extLst/>
      </c:barChart>
      <c:catAx>
        <c:axId val="833903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3901736"/>
        <c:crosses val="autoZero"/>
        <c:auto val="1"/>
        <c:lblAlgn val="ctr"/>
        <c:lblOffset val="100"/>
        <c:noMultiLvlLbl val="0"/>
      </c:catAx>
      <c:valAx>
        <c:axId val="833901736"/>
        <c:scaling>
          <c:orientation val="minMax"/>
        </c:scaling>
        <c:delete val="1"/>
        <c:axPos val="l"/>
        <c:numFmt formatCode="_-* #\ ##0\ [$€-40C]_-;\-* #\ ##0\ [$€-40C]_-;_-* &quot;-&quot;??\ [$€-40C]_-;_-@_-" sourceLinked="1"/>
        <c:majorTickMark val="none"/>
        <c:minorTickMark val="none"/>
        <c:tickLblPos val="nextTo"/>
        <c:crossAx val="83390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99217</xdr:colOff>
      <xdr:row>12</xdr:row>
      <xdr:rowOff>150813</xdr:rowOff>
    </xdr:from>
    <xdr:to>
      <xdr:col>12</xdr:col>
      <xdr:colOff>369093</xdr:colOff>
      <xdr:row>36</xdr:row>
      <xdr:rowOff>119062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9FD96AB-AADF-1170-84D1-47AB93882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EF22-303F-4BEB-812D-2E5FFE25E4A1}">
  <sheetPr>
    <tabColor rgb="FFFFC000"/>
  </sheetPr>
  <dimension ref="A1:AB88"/>
  <sheetViews>
    <sheetView showGridLines="0" tabSelected="1" topLeftCell="A12" zoomScale="110" zoomScaleNormal="110" workbookViewId="0">
      <selection activeCell="E37" sqref="E37"/>
    </sheetView>
  </sheetViews>
  <sheetFormatPr baseColWidth="10" defaultColWidth="10.85546875" defaultRowHeight="12.75" outlineLevelCol="1" x14ac:dyDescent="0.2"/>
  <cols>
    <col min="1" max="1" width="48" style="59" customWidth="1"/>
    <col min="2" max="2" width="23.140625" style="59" customWidth="1"/>
    <col min="3" max="3" width="22" style="59" customWidth="1"/>
    <col min="4" max="4" width="10.85546875" style="59"/>
    <col min="5" max="5" width="15" style="59" customWidth="1"/>
    <col min="6" max="6" width="22.28515625" style="59" customWidth="1"/>
    <col min="7" max="7" width="12.28515625" style="59" bestFit="1" customWidth="1"/>
    <col min="8" max="8" width="12.28515625" style="59" customWidth="1"/>
    <col min="9" max="10" width="10.85546875" style="59"/>
    <col min="11" max="11" width="14.28515625" style="59" customWidth="1"/>
    <col min="12" max="12" width="13" style="59" customWidth="1"/>
    <col min="13" max="13" width="7.28515625" style="59" customWidth="1"/>
    <col min="14" max="14" width="10.85546875" style="59"/>
    <col min="15" max="15" width="26.5703125" style="59" customWidth="1"/>
    <col min="16" max="16" width="12.85546875" style="59" customWidth="1"/>
    <col min="17" max="17" width="10.85546875" style="59" customWidth="1"/>
    <col min="18" max="21" width="10.85546875" style="59"/>
    <col min="22" max="22" width="10.85546875" style="59" hidden="1" customWidth="1" outlineLevel="1"/>
    <col min="23" max="23" width="18.7109375" style="59" hidden="1" customWidth="1" outlineLevel="1"/>
    <col min="24" max="24" width="11.42578125" style="59" hidden="1" customWidth="1" outlineLevel="1"/>
    <col min="25" max="25" width="12" style="59" hidden="1" customWidth="1" outlineLevel="1"/>
    <col min="26" max="26" width="7" style="59" hidden="1" customWidth="1" outlineLevel="1"/>
    <col min="27" max="27" width="10.85546875" style="59" hidden="1" customWidth="1" outlineLevel="1"/>
    <col min="28" max="28" width="10.85546875" style="59" collapsed="1"/>
    <col min="29" max="16384" width="10.85546875" style="59"/>
  </cols>
  <sheetData>
    <row r="1" spans="1:27" ht="26.25" thickBot="1" x14ac:dyDescent="0.25">
      <c r="A1" s="58" t="s">
        <v>251</v>
      </c>
      <c r="B1" s="74" t="s">
        <v>105</v>
      </c>
      <c r="C1" s="74"/>
      <c r="F1" s="58" t="s">
        <v>338</v>
      </c>
      <c r="G1" s="262" t="s">
        <v>5</v>
      </c>
      <c r="H1" s="263" t="s">
        <v>6</v>
      </c>
      <c r="I1" s="264"/>
      <c r="K1" s="262" t="s">
        <v>5</v>
      </c>
      <c r="L1" s="263" t="s">
        <v>6</v>
      </c>
      <c r="O1" s="58" t="s">
        <v>339</v>
      </c>
      <c r="P1" s="262" t="s">
        <v>5</v>
      </c>
      <c r="Q1" s="263" t="s">
        <v>6</v>
      </c>
      <c r="V1" s="88"/>
      <c r="W1" s="88"/>
      <c r="X1" s="88"/>
      <c r="Y1" s="88"/>
    </row>
    <row r="2" spans="1:27" ht="13.5" thickBot="1" x14ac:dyDescent="0.25">
      <c r="F2" s="265" t="s">
        <v>16</v>
      </c>
      <c r="G2" s="266">
        <f ca="1">B58</f>
        <v>179.94367999999997</v>
      </c>
      <c r="H2" s="266">
        <f ca="1">C58</f>
        <v>129.03855999999999</v>
      </c>
      <c r="I2" s="267">
        <f ca="1">G2/H2-1</f>
        <v>0.39449541284403655</v>
      </c>
      <c r="K2" s="268">
        <f ca="1">G2/$G$10</f>
        <v>0.10666666666666666</v>
      </c>
      <c r="L2" s="268">
        <f ca="1">H2/$H$10</f>
        <v>7.9989818043959021E-2</v>
      </c>
      <c r="M2" s="267">
        <f ca="1">K2/L2-1</f>
        <v>0.33350305420181314</v>
      </c>
      <c r="O2" s="265" t="s">
        <v>16</v>
      </c>
      <c r="P2" s="269">
        <f ca="1">B59</f>
        <v>1.8941439999999996</v>
      </c>
      <c r="Q2" s="269">
        <f ca="1">C59</f>
        <v>1.0062639999999998</v>
      </c>
      <c r="R2" s="267">
        <f ca="1">P2/Q2-1</f>
        <v>0.88235294117647056</v>
      </c>
    </row>
    <row r="3" spans="1:27" ht="13.5" thickBot="1" x14ac:dyDescent="0.25">
      <c r="B3" s="75"/>
      <c r="F3" s="265" t="s">
        <v>12</v>
      </c>
      <c r="G3" s="270">
        <f ca="1">B65</f>
        <v>401.03528000000006</v>
      </c>
      <c r="H3" s="270">
        <f ca="1">C65</f>
        <v>453.24149176470587</v>
      </c>
      <c r="I3" s="267">
        <f t="shared" ref="I3:I10" ca="1" si="0">G3/H3-1</f>
        <v>-0.11518409658709705</v>
      </c>
      <c r="K3" s="271">
        <f ca="1">G3/$G$10</f>
        <v>0.23772491778168228</v>
      </c>
      <c r="L3" s="271">
        <f ca="1">H3/$H$10</f>
        <v>0.28096023743779669</v>
      </c>
      <c r="M3" s="267">
        <f t="shared" ref="M3:M8" ca="1" si="1">K3/L3-1</f>
        <v>-0.15388412271571528</v>
      </c>
      <c r="O3" s="265" t="s">
        <v>12</v>
      </c>
      <c r="P3" s="272">
        <f ca="1">B66</f>
        <v>4.2214240000000007</v>
      </c>
      <c r="Q3" s="272">
        <f ca="1">C66</f>
        <v>3.5344519999999995</v>
      </c>
      <c r="R3" s="267">
        <f t="shared" ref="R3:R4" ca="1" si="2">P3/Q3-1</f>
        <v>0.19436450120131821</v>
      </c>
    </row>
    <row r="4" spans="1:27" ht="13.5" thickBot="1" x14ac:dyDescent="0.25">
      <c r="A4" s="238" t="s">
        <v>38</v>
      </c>
      <c r="B4" s="75"/>
      <c r="F4" s="265" t="s">
        <v>333</v>
      </c>
      <c r="G4" s="270">
        <f>B63</f>
        <v>285</v>
      </c>
      <c r="H4" s="270">
        <f>C63</f>
        <v>256.47058823529414</v>
      </c>
      <c r="I4" s="267">
        <f t="shared" si="0"/>
        <v>0.11123853211009171</v>
      </c>
      <c r="K4" s="271">
        <f ca="1">G4/$G$10</f>
        <v>0.16894174888498448</v>
      </c>
      <c r="L4" s="271">
        <f ca="1">H4/$H$10</f>
        <v>0.15898376180397794</v>
      </c>
      <c r="M4" s="267">
        <f t="shared" ca="1" si="1"/>
        <v>6.2635246317069848E-2</v>
      </c>
      <c r="O4" s="265" t="s">
        <v>333</v>
      </c>
      <c r="P4" s="272">
        <f>B63/B47</f>
        <v>3</v>
      </c>
      <c r="Q4" s="272">
        <f>C63/C47</f>
        <v>2</v>
      </c>
      <c r="R4" s="267">
        <f t="shared" si="2"/>
        <v>0.5</v>
      </c>
    </row>
    <row r="5" spans="1:27" ht="13.5" thickBot="1" x14ac:dyDescent="0.25">
      <c r="F5" s="265" t="s">
        <v>21</v>
      </c>
      <c r="G5" s="270">
        <f ca="1">B71</f>
        <v>98.406700000000001</v>
      </c>
      <c r="H5" s="270">
        <f ca="1">C71</f>
        <v>112.90874000000001</v>
      </c>
      <c r="I5" s="267">
        <f t="shared" ca="1" si="0"/>
        <v>-0.12844036697247707</v>
      </c>
      <c r="K5" s="271">
        <f t="shared" ref="K5:K8" ca="1" si="3">G5/$G$10</f>
        <v>5.8333333333333341E-2</v>
      </c>
      <c r="L5" s="271">
        <f t="shared" ref="L5:L8" ca="1" si="4">H5/$H$10</f>
        <v>6.9991090788464147E-2</v>
      </c>
      <c r="M5" s="267">
        <f t="shared" ca="1" si="1"/>
        <v>-0.16656059112386667</v>
      </c>
      <c r="O5" s="265" t="s">
        <v>21</v>
      </c>
      <c r="P5" s="272">
        <f ca="1">B72</f>
        <v>1.03586</v>
      </c>
      <c r="Q5" s="272">
        <f ca="1">C72</f>
        <v>0.88048099999999996</v>
      </c>
      <c r="R5" s="267">
        <f ca="1">P5/Q5-1</f>
        <v>0.17647058823529416</v>
      </c>
      <c r="W5" s="60"/>
      <c r="X5" s="61" t="s">
        <v>232</v>
      </c>
      <c r="Y5" s="62" t="s">
        <v>98</v>
      </c>
    </row>
    <row r="6" spans="1:27" ht="13.5" thickBot="1" x14ac:dyDescent="0.25">
      <c r="A6" s="241" t="s">
        <v>40</v>
      </c>
      <c r="B6" s="236" t="s">
        <v>124</v>
      </c>
      <c r="F6" s="265" t="s">
        <v>336</v>
      </c>
      <c r="G6" s="270">
        <f ca="1">B75</f>
        <v>84.34859999999999</v>
      </c>
      <c r="H6" s="270">
        <f ca="1">C75</f>
        <v>96.984237529411757</v>
      </c>
      <c r="I6" s="267">
        <f t="shared" ca="1" si="0"/>
        <v>-0.13028547577723482</v>
      </c>
      <c r="K6" s="271">
        <f t="shared" ca="1" si="3"/>
        <v>0.05</v>
      </c>
      <c r="L6" s="271">
        <f t="shared" ca="1" si="4"/>
        <v>6.0119637983481439E-2</v>
      </c>
      <c r="M6" s="267">
        <f t="shared" ca="1" si="1"/>
        <v>-0.168324998667855</v>
      </c>
      <c r="O6" s="265" t="s">
        <v>336</v>
      </c>
      <c r="P6" s="272">
        <f ca="1">B76</f>
        <v>0.88787999999999989</v>
      </c>
      <c r="Q6" s="272">
        <f ca="1">C76</f>
        <v>0.75629909999999989</v>
      </c>
      <c r="R6" s="267">
        <f ca="1">P6/Q6-1</f>
        <v>0.17397997696942924</v>
      </c>
      <c r="W6" s="64"/>
      <c r="X6" s="65"/>
      <c r="Y6" s="66"/>
      <c r="Z6" s="67"/>
    </row>
    <row r="7" spans="1:27" ht="13.5" thickBot="1" x14ac:dyDescent="0.25">
      <c r="A7" s="241" t="s">
        <v>106</v>
      </c>
      <c r="B7" s="236">
        <f>VLOOKUP(B6,'Calculs CO2'!A135:C137,2,0)</f>
        <v>8</v>
      </c>
      <c r="C7" s="67"/>
      <c r="F7" s="265" t="s">
        <v>334</v>
      </c>
      <c r="G7" s="270">
        <f ca="1">B82</f>
        <v>36.902512499999993</v>
      </c>
      <c r="H7" s="270">
        <f ca="1">C82</f>
        <v>54.556744117647064</v>
      </c>
      <c r="I7" s="267">
        <f t="shared" ca="1" si="0"/>
        <v>-0.3235939369764661</v>
      </c>
      <c r="K7" s="271">
        <f t="shared" ca="1" si="3"/>
        <v>2.1874999999999999E-2</v>
      </c>
      <c r="L7" s="271">
        <f t="shared" ca="1" si="4"/>
        <v>3.3819224540644448E-2</v>
      </c>
      <c r="M7" s="267">
        <f t="shared" ca="1" si="1"/>
        <v>-0.35317854572004459</v>
      </c>
      <c r="O7" s="265" t="s">
        <v>334</v>
      </c>
      <c r="P7" s="272">
        <f ca="1">B82/B47</f>
        <v>0.38844749999999995</v>
      </c>
      <c r="Q7" s="272">
        <f ca="1">C82/C47</f>
        <v>0.4254425</v>
      </c>
      <c r="R7" s="267">
        <f ca="1">P7/Q7-1</f>
        <v>-8.6956521739130599E-2</v>
      </c>
      <c r="W7" s="68" t="s">
        <v>140</v>
      </c>
      <c r="X7" s="69">
        <f ca="1">'Calculs €'!C48</f>
        <v>1686.9719999999998</v>
      </c>
      <c r="Y7" s="70">
        <f ca="1">'Calculs €'!D48</f>
        <v>1371.0346999999997</v>
      </c>
      <c r="Z7" s="71">
        <f ca="1">(X7-Y7)/Y7</f>
        <v>0.23043712898003246</v>
      </c>
      <c r="AA7" s="72"/>
    </row>
    <row r="8" spans="1:27" ht="13.5" thickBot="1" x14ac:dyDescent="0.25">
      <c r="A8" s="241" t="s">
        <v>41</v>
      </c>
      <c r="B8" s="244">
        <f>(VLOOKUP(B6,'Calculs CO2'!A135:C137,3,0))/100</f>
        <v>0.7</v>
      </c>
      <c r="C8" s="67"/>
      <c r="F8" s="265" t="s">
        <v>13</v>
      </c>
      <c r="G8" s="270">
        <f ca="1">B83</f>
        <v>601.33522749999986</v>
      </c>
      <c r="H8" s="270">
        <f ca="1">C83</f>
        <v>509.98695588235313</v>
      </c>
      <c r="I8" s="267">
        <f t="shared" ca="1" si="0"/>
        <v>0.17911883934286243</v>
      </c>
      <c r="K8" s="271">
        <f t="shared" ca="1" si="3"/>
        <v>0.35645833333333332</v>
      </c>
      <c r="L8" s="271">
        <f t="shared" ca="1" si="4"/>
        <v>0.31613622940167641</v>
      </c>
      <c r="M8" s="267">
        <f t="shared" ca="1" si="1"/>
        <v>0.12754660865023615</v>
      </c>
      <c r="O8" s="265" t="s">
        <v>13</v>
      </c>
      <c r="P8" s="272">
        <f ca="1">B84</f>
        <v>6.3298444999999983</v>
      </c>
      <c r="Q8" s="272">
        <f ca="1">C84</f>
        <v>3.9769625000000008</v>
      </c>
      <c r="R8" s="267">
        <f ca="1">P8/Q8-1</f>
        <v>0.59162790697674339</v>
      </c>
      <c r="W8" s="64" t="s">
        <v>97</v>
      </c>
      <c r="X8" s="69">
        <f ca="1">'Calculs €'!C52</f>
        <v>601.33522749999986</v>
      </c>
      <c r="Y8" s="70">
        <f ca="1">'Calculs €'!D52</f>
        <v>425.3054008823529</v>
      </c>
      <c r="Z8" s="71">
        <f ca="1">(X8-Y8)/Y8</f>
        <v>0.41389040969724239</v>
      </c>
      <c r="AA8" s="73"/>
    </row>
    <row r="9" spans="1:27" ht="13.5" thickBot="1" x14ac:dyDescent="0.25">
      <c r="A9" s="241" t="s">
        <v>174</v>
      </c>
      <c r="B9" s="243">
        <v>0.15</v>
      </c>
      <c r="P9" s="239"/>
      <c r="Q9" s="239"/>
      <c r="W9" s="64"/>
      <c r="X9" s="69"/>
      <c r="Y9" s="70"/>
      <c r="Z9" s="71"/>
    </row>
    <row r="10" spans="1:27" ht="13.5" thickBot="1" x14ac:dyDescent="0.25">
      <c r="G10" s="270">
        <f ca="1">SUM(G2:G8)</f>
        <v>1686.9719999999998</v>
      </c>
      <c r="H10" s="270">
        <f ca="1">SUM(H2:H8)</f>
        <v>1613.1873175294118</v>
      </c>
      <c r="I10" s="267">
        <f t="shared" ca="1" si="0"/>
        <v>4.5738446904968866E-2</v>
      </c>
      <c r="K10" s="271">
        <f ca="1">G10/$G$10</f>
        <v>1</v>
      </c>
      <c r="L10" s="271">
        <f ca="1">H10/$H$10</f>
        <v>1</v>
      </c>
      <c r="M10" s="267">
        <f t="shared" ref="M10" ca="1" si="5">K10/L10-1</f>
        <v>0</v>
      </c>
      <c r="P10" s="272">
        <f ca="1">SUM(P2:P8)</f>
        <v>17.757599999999996</v>
      </c>
      <c r="Q10" s="272">
        <f ca="1">SUM(Q2:Q8)</f>
        <v>12.579901100000001</v>
      </c>
      <c r="R10" s="267">
        <f ca="1">P10/Q10-1</f>
        <v>0.41158502430515886</v>
      </c>
      <c r="W10" s="64" t="s">
        <v>99</v>
      </c>
      <c r="X10" s="69">
        <f ca="1">'Calculs €'!C26</f>
        <v>179.94367999999997</v>
      </c>
      <c r="Y10" s="70">
        <f ca="1">'Calculs €'!D26</f>
        <v>109.68277599999999</v>
      </c>
      <c r="Z10" s="71">
        <f t="shared" ref="Z10" ca="1" si="6">(X10-Y10)/Y10</f>
        <v>0.64058283864004306</v>
      </c>
    </row>
    <row r="11" spans="1:27" x14ac:dyDescent="0.2">
      <c r="A11" s="238" t="s">
        <v>234</v>
      </c>
      <c r="W11" s="64"/>
      <c r="X11" s="69"/>
      <c r="Y11" s="70"/>
      <c r="Z11" s="71"/>
    </row>
    <row r="12" spans="1:27" ht="13.5" thickBot="1" x14ac:dyDescent="0.25">
      <c r="A12" s="238"/>
      <c r="W12" s="64" t="s">
        <v>100</v>
      </c>
      <c r="X12" s="69">
        <f ca="1">'Calculs €'!C30+'Calculs €'!C32</f>
        <v>798.50008000000003</v>
      </c>
      <c r="Y12" s="70">
        <f ca="1">'Calculs €'!D30</f>
        <v>712.93804399999988</v>
      </c>
      <c r="Z12" s="71">
        <f ca="1">(X12-Y12)/Y12</f>
        <v>0.12001328407156817</v>
      </c>
    </row>
    <row r="13" spans="1:27" ht="13.5" thickBot="1" x14ac:dyDescent="0.25">
      <c r="A13" s="241" t="s">
        <v>42</v>
      </c>
      <c r="B13" s="245" t="s">
        <v>172</v>
      </c>
      <c r="W13" s="64"/>
      <c r="X13" s="76"/>
      <c r="Y13" s="77"/>
      <c r="Z13" s="71"/>
    </row>
    <row r="14" spans="1:27" ht="24.75" customHeight="1" thickBot="1" x14ac:dyDescent="0.25">
      <c r="A14" s="241" t="s">
        <v>43</v>
      </c>
      <c r="B14" s="261">
        <f ca="1">VLOOKUP(B13,'Calculs CO2'!A110:E121,4,0)</f>
        <v>14.797999999999998</v>
      </c>
      <c r="C14" s="63"/>
      <c r="W14" s="64" t="s">
        <v>103</v>
      </c>
      <c r="X14" s="79">
        <f ca="1">'Calculs CO2'!C37</f>
        <v>0.14713837066666666</v>
      </c>
      <c r="Y14" s="80">
        <f ca="1">'Calculs CO2'!B37</f>
        <v>0.55517103999999995</v>
      </c>
      <c r="Z14" s="71">
        <f ca="1">(X14-Y14)/Y14</f>
        <v>-0.7349674963833368</v>
      </c>
    </row>
    <row r="15" spans="1:27" ht="28.5" customHeight="1" thickBot="1" x14ac:dyDescent="0.25">
      <c r="A15" s="241" t="s">
        <v>313</v>
      </c>
      <c r="B15" s="236">
        <f ca="1">VLOOKUP(B13,'Calculs CO2'!A110:E121,2,0)</f>
        <v>355.8</v>
      </c>
      <c r="C15" s="63"/>
      <c r="D15" s="75"/>
      <c r="W15" s="64"/>
      <c r="X15" s="79"/>
      <c r="Y15" s="80"/>
      <c r="Z15" s="71"/>
    </row>
    <row r="16" spans="1:27" ht="13.5" thickBot="1" x14ac:dyDescent="0.25">
      <c r="A16" s="241" t="s">
        <v>148</v>
      </c>
      <c r="B16" s="246">
        <v>30</v>
      </c>
      <c r="W16" s="64" t="s">
        <v>101</v>
      </c>
      <c r="X16" s="81">
        <f ca="1">B25/B31</f>
        <v>5.6232399999999991</v>
      </c>
      <c r="Y16" s="82">
        <f ca="1">'Calculs CO2'!B39</f>
        <v>15.611889999999995</v>
      </c>
      <c r="Z16" s="71">
        <f ca="1">(X16-Y16)/Y16</f>
        <v>-0.6398104265402843</v>
      </c>
    </row>
    <row r="17" spans="1:27" ht="13.5" thickBot="1" x14ac:dyDescent="0.25">
      <c r="A17" s="241" t="s">
        <v>45</v>
      </c>
      <c r="B17" s="236">
        <f>ROUND((1+B19)*(B26+B18),0)</f>
        <v>95</v>
      </c>
      <c r="W17" s="64"/>
      <c r="X17" s="81"/>
      <c r="Y17" s="82"/>
      <c r="Z17" s="71"/>
    </row>
    <row r="18" spans="1:27" ht="13.5" thickBot="1" x14ac:dyDescent="0.25">
      <c r="A18" s="241" t="s">
        <v>250</v>
      </c>
      <c r="B18" s="236">
        <f>B16</f>
        <v>30</v>
      </c>
      <c r="C18" s="83" t="s">
        <v>340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83"/>
      <c r="W18" s="84"/>
      <c r="X18" s="85"/>
      <c r="Y18" s="86"/>
      <c r="Z18" s="71"/>
    </row>
    <row r="19" spans="1:27" ht="13.5" thickBot="1" x14ac:dyDescent="0.25">
      <c r="A19" s="241" t="s">
        <v>252</v>
      </c>
      <c r="B19" s="243">
        <v>0.05</v>
      </c>
      <c r="C19" s="83"/>
    </row>
    <row r="20" spans="1:27" ht="13.5" hidden="1" thickBot="1" x14ac:dyDescent="0.25">
      <c r="A20" s="241" t="s">
        <v>253</v>
      </c>
      <c r="B20" s="247">
        <v>2</v>
      </c>
      <c r="C20" s="83"/>
      <c r="Z20" s="71"/>
    </row>
    <row r="21" spans="1:27" ht="23.25" hidden="1" thickBot="1" x14ac:dyDescent="0.25">
      <c r="A21" s="241" t="s">
        <v>254</v>
      </c>
      <c r="B21" s="247">
        <v>1.5</v>
      </c>
      <c r="C21" s="83"/>
      <c r="X21" s="78"/>
      <c r="Z21" s="71"/>
    </row>
    <row r="22" spans="1:27" x14ac:dyDescent="0.2">
      <c r="Z22" s="71"/>
    </row>
    <row r="23" spans="1:27" x14ac:dyDescent="0.2">
      <c r="A23" s="238" t="s">
        <v>39</v>
      </c>
      <c r="Z23" s="63"/>
    </row>
    <row r="24" spans="1:27" ht="13.5" thickBot="1" x14ac:dyDescent="0.25">
      <c r="A24" s="238"/>
      <c r="Z24" s="63"/>
    </row>
    <row r="25" spans="1:27" ht="13.5" thickBot="1" x14ac:dyDescent="0.25">
      <c r="A25" s="241" t="s">
        <v>44</v>
      </c>
      <c r="B25" s="258">
        <f ca="1">E26</f>
        <v>28.116199999999996</v>
      </c>
      <c r="C25" s="181" t="s">
        <v>309</v>
      </c>
      <c r="D25" s="247">
        <v>1.9</v>
      </c>
      <c r="E25" s="83" t="s">
        <v>308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W25" s="253" t="s">
        <v>104</v>
      </c>
      <c r="X25" s="253"/>
      <c r="Y25" s="253"/>
      <c r="Z25" s="253"/>
      <c r="AA25" s="253"/>
    </row>
    <row r="26" spans="1:27" ht="13.5" thickBot="1" x14ac:dyDescent="0.25">
      <c r="A26" s="241" t="s">
        <v>46</v>
      </c>
      <c r="B26" s="251">
        <v>60</v>
      </c>
      <c r="D26" s="259" t="s">
        <v>341</v>
      </c>
      <c r="E26" s="260">
        <f ca="1">B14*$D$25</f>
        <v>28.116199999999996</v>
      </c>
      <c r="W26" s="253"/>
      <c r="X26" s="253"/>
      <c r="Y26" s="253"/>
      <c r="Z26" s="253"/>
      <c r="AA26" s="253"/>
    </row>
    <row r="27" spans="1:27" ht="13.5" hidden="1" thickBot="1" x14ac:dyDescent="0.25">
      <c r="A27" s="241" t="s">
        <v>321</v>
      </c>
      <c r="B27" s="237">
        <f ca="1">B25/B16</f>
        <v>0.93720666666666652</v>
      </c>
      <c r="W27" s="254" t="s">
        <v>225</v>
      </c>
      <c r="X27" s="255">
        <f ca="1">X8/'Calculs €'!D53</f>
        <v>154.11405465699943</v>
      </c>
      <c r="Y27" s="253" t="s">
        <v>141</v>
      </c>
      <c r="Z27" s="253"/>
      <c r="AA27" s="253"/>
    </row>
    <row r="28" spans="1:27" x14ac:dyDescent="0.2">
      <c r="C28" s="194"/>
      <c r="W28" s="253"/>
      <c r="X28" s="253"/>
      <c r="Y28" s="253"/>
      <c r="Z28" s="253"/>
      <c r="AA28" s="253"/>
    </row>
    <row r="29" spans="1:27" hidden="1" x14ac:dyDescent="0.2">
      <c r="A29" s="238" t="s">
        <v>93</v>
      </c>
      <c r="D29" s="194"/>
      <c r="W29" s="253" t="s">
        <v>229</v>
      </c>
      <c r="X29" s="253"/>
      <c r="Y29" s="253"/>
      <c r="Z29" s="253"/>
      <c r="AA29" s="253"/>
    </row>
    <row r="30" spans="1:27" ht="13.5" hidden="1" thickBot="1" x14ac:dyDescent="0.25">
      <c r="A30" s="238"/>
      <c r="W30" s="253"/>
      <c r="X30" s="253"/>
      <c r="Y30" s="253"/>
      <c r="Z30" s="253"/>
      <c r="AA30" s="253"/>
    </row>
    <row r="31" spans="1:27" ht="13.5" hidden="1" thickBot="1" x14ac:dyDescent="0.25">
      <c r="A31" s="241" t="s">
        <v>235</v>
      </c>
      <c r="B31" s="246">
        <v>5</v>
      </c>
      <c r="C31" s="67" t="s">
        <v>322</v>
      </c>
      <c r="W31" s="253"/>
      <c r="X31" s="253"/>
      <c r="Y31" s="253"/>
      <c r="Z31" s="253"/>
      <c r="AA31" s="253"/>
    </row>
    <row r="32" spans="1:27" ht="13.5" hidden="1" thickBot="1" x14ac:dyDescent="0.25">
      <c r="A32" s="241" t="s">
        <v>94</v>
      </c>
      <c r="B32" s="246">
        <v>1</v>
      </c>
      <c r="C32" s="67" t="s">
        <v>95</v>
      </c>
      <c r="W32" s="253" t="s">
        <v>230</v>
      </c>
      <c r="X32" s="253"/>
      <c r="Y32" s="253"/>
      <c r="Z32" s="253"/>
      <c r="AA32" s="253"/>
    </row>
    <row r="33" spans="1:27" ht="13.5" hidden="1" thickBot="1" x14ac:dyDescent="0.25">
      <c r="A33" s="241" t="s">
        <v>326</v>
      </c>
      <c r="B33" s="236">
        <f>IF(D25*B26-B47&lt;0,0,D25*B26-B47)</f>
        <v>19</v>
      </c>
      <c r="C33" s="67" t="s">
        <v>337</v>
      </c>
      <c r="W33" s="253"/>
      <c r="X33" s="253"/>
      <c r="Y33" s="253"/>
      <c r="Z33" s="253"/>
      <c r="AA33" s="253"/>
    </row>
    <row r="34" spans="1:27" x14ac:dyDescent="0.2">
      <c r="A34" s="75"/>
      <c r="C34" s="67"/>
      <c r="W34" s="253" t="s">
        <v>231</v>
      </c>
      <c r="X34" s="253"/>
      <c r="Y34" s="253"/>
      <c r="Z34" s="253"/>
      <c r="AA34" s="253"/>
    </row>
    <row r="36" spans="1:27" ht="13.5" thickBot="1" x14ac:dyDescent="0.25">
      <c r="A36" s="238" t="s">
        <v>331</v>
      </c>
      <c r="V36" s="88"/>
      <c r="W36" s="88"/>
      <c r="X36" s="88"/>
      <c r="Y36" s="88"/>
    </row>
    <row r="37" spans="1:27" ht="13.5" thickBot="1" x14ac:dyDescent="0.25">
      <c r="B37" s="249" t="s">
        <v>232</v>
      </c>
      <c r="C37" s="250" t="s">
        <v>288</v>
      </c>
    </row>
    <row r="38" spans="1:27" ht="13.5" thickBot="1" x14ac:dyDescent="0.25">
      <c r="A38" s="241" t="s">
        <v>0</v>
      </c>
      <c r="B38" s="273">
        <v>0.35</v>
      </c>
      <c r="C38" s="273">
        <v>0.35</v>
      </c>
    </row>
    <row r="39" spans="1:27" ht="13.5" thickBot="1" x14ac:dyDescent="0.25">
      <c r="A39" s="241" t="s">
        <v>35</v>
      </c>
      <c r="B39" s="274">
        <v>7.0000000000000007E-2</v>
      </c>
      <c r="C39" s="274">
        <v>7.0000000000000007E-2</v>
      </c>
    </row>
    <row r="40" spans="1:27" ht="13.5" thickBot="1" x14ac:dyDescent="0.25">
      <c r="A40" s="241" t="s">
        <v>22</v>
      </c>
      <c r="B40" s="274">
        <v>0.06</v>
      </c>
      <c r="C40" s="274">
        <v>0.06</v>
      </c>
      <c r="E40" s="257"/>
      <c r="F40" s="276" t="s">
        <v>13</v>
      </c>
      <c r="G40" s="277"/>
    </row>
    <row r="41" spans="1:27" ht="13.5" thickBot="1" x14ac:dyDescent="0.25">
      <c r="A41" s="241" t="s">
        <v>23</v>
      </c>
      <c r="B41" s="271">
        <f>B38+B39+B40</f>
        <v>0.48</v>
      </c>
      <c r="C41" s="271">
        <f>C38+C39+C40</f>
        <v>0.48</v>
      </c>
      <c r="F41" s="278" t="s">
        <v>342</v>
      </c>
      <c r="G41" s="279">
        <f ca="1">B79</f>
        <v>1686.9719999999998</v>
      </c>
    </row>
    <row r="42" spans="1:27" ht="13.5" thickBot="1" x14ac:dyDescent="0.25">
      <c r="A42" s="241" t="s">
        <v>233</v>
      </c>
      <c r="B42" s="274">
        <v>0.08</v>
      </c>
      <c r="C42" s="274">
        <v>0.08</v>
      </c>
      <c r="F42" s="278" t="s">
        <v>343</v>
      </c>
      <c r="G42" s="279">
        <f ca="1">B83</f>
        <v>601.33522749999986</v>
      </c>
      <c r="H42" s="256"/>
      <c r="I42" s="256"/>
    </row>
    <row r="43" spans="1:27" ht="13.5" thickBot="1" x14ac:dyDescent="0.25">
      <c r="A43" s="241" t="s">
        <v>1</v>
      </c>
      <c r="B43" s="274">
        <v>0.08</v>
      </c>
      <c r="C43" s="274">
        <v>0</v>
      </c>
      <c r="F43" s="280" t="s">
        <v>344</v>
      </c>
      <c r="G43" s="281">
        <f ca="1">G42/G41</f>
        <v>0.35645833333333332</v>
      </c>
      <c r="H43" s="256"/>
      <c r="I43" s="256"/>
    </row>
    <row r="44" spans="1:27" ht="13.5" thickBot="1" x14ac:dyDescent="0.25">
      <c r="A44" s="248" t="s">
        <v>290</v>
      </c>
      <c r="B44" s="274">
        <v>0.5</v>
      </c>
      <c r="C44" s="271">
        <f>C43</f>
        <v>0</v>
      </c>
      <c r="E44" s="240"/>
    </row>
    <row r="45" spans="1:27" ht="13.5" thickBot="1" x14ac:dyDescent="0.25">
      <c r="A45" s="248" t="s">
        <v>291</v>
      </c>
      <c r="B45" s="271">
        <f>1-B44</f>
        <v>0.5</v>
      </c>
      <c r="C45" s="271">
        <f>C43</f>
        <v>0</v>
      </c>
      <c r="E45" s="87"/>
    </row>
    <row r="46" spans="1:27" ht="13.5" thickBot="1" x14ac:dyDescent="0.25">
      <c r="A46" s="241" t="s">
        <v>7</v>
      </c>
      <c r="B46" s="271">
        <v>0</v>
      </c>
      <c r="C46" s="271">
        <f>B9</f>
        <v>0.15</v>
      </c>
    </row>
    <row r="47" spans="1:27" ht="23.25" thickBot="1" x14ac:dyDescent="0.25">
      <c r="A47" s="241" t="s">
        <v>8</v>
      </c>
      <c r="B47" s="275">
        <f>B17</f>
        <v>95</v>
      </c>
      <c r="C47" s="275">
        <f>(B26+B18+B33)/(1-C46)</f>
        <v>128.23529411764707</v>
      </c>
      <c r="D47" s="67"/>
    </row>
    <row r="48" spans="1:27" ht="13.5" thickBot="1" x14ac:dyDescent="0.25">
      <c r="A48" s="241" t="s">
        <v>10</v>
      </c>
      <c r="B48" s="258">
        <f ca="1">B46*B49</f>
        <v>0</v>
      </c>
      <c r="C48" s="258">
        <f ca="1">C46*C49</f>
        <v>7.1160970588235299</v>
      </c>
      <c r="D48" s="75"/>
    </row>
    <row r="49" spans="1:6" ht="13.5" thickBot="1" x14ac:dyDescent="0.25">
      <c r="A49" s="241" t="s">
        <v>11</v>
      </c>
      <c r="B49" s="258">
        <f ca="1">$D$49*B47*(1+B19)*B14</f>
        <v>36.902512499999993</v>
      </c>
      <c r="C49" s="258">
        <f ca="1">$D$49*B14*C47</f>
        <v>47.440647058823536</v>
      </c>
      <c r="D49" s="182">
        <v>2.5000000000000001E-2</v>
      </c>
    </row>
    <row r="52" spans="1:6" x14ac:dyDescent="0.2">
      <c r="A52" s="238" t="s">
        <v>332</v>
      </c>
    </row>
    <row r="53" spans="1:6" ht="13.5" thickBot="1" x14ac:dyDescent="0.25"/>
    <row r="54" spans="1:6" ht="53.25" thickBot="1" x14ac:dyDescent="0.25">
      <c r="A54" s="34"/>
      <c r="B54" s="89" t="s">
        <v>5</v>
      </c>
      <c r="C54" s="90" t="s">
        <v>6</v>
      </c>
      <c r="D54" s="90" t="s">
        <v>324</v>
      </c>
      <c r="E54" s="90" t="s">
        <v>325</v>
      </c>
    </row>
    <row r="55" spans="1:6" x14ac:dyDescent="0.2">
      <c r="A55" s="91" t="s">
        <v>16</v>
      </c>
      <c r="B55" s="93"/>
      <c r="C55" s="93"/>
      <c r="D55" s="93"/>
      <c r="E55" s="94"/>
    </row>
    <row r="56" spans="1:6" x14ac:dyDescent="0.2">
      <c r="A56" s="95" t="s">
        <v>17</v>
      </c>
      <c r="B56" s="45">
        <f ca="1">($B14*B47*B42)*(1-B46)</f>
        <v>112.4648</v>
      </c>
      <c r="C56" s="45">
        <f ca="1">($B14*C47*C42)*(1-C46)</f>
        <v>129.03855999999999</v>
      </c>
      <c r="D56" s="45">
        <f ca="1">B56-C56</f>
        <v>-16.573759999999993</v>
      </c>
      <c r="E56" s="96">
        <f ca="1">IFERROR(IF(C56&lt;0,"à analyser",D56/C56),100%)</f>
        <v>-0.12844036697247702</v>
      </c>
    </row>
    <row r="57" spans="1:6" x14ac:dyDescent="0.2">
      <c r="A57" s="95" t="s">
        <v>1</v>
      </c>
      <c r="B57" s="45">
        <f ca="1">B44*B43*B26*B25</f>
        <v>67.47887999999999</v>
      </c>
      <c r="C57" s="45">
        <f ca="1">C44*C43*C47*B14</f>
        <v>0</v>
      </c>
      <c r="D57" s="45">
        <f ca="1">B57-C57</f>
        <v>67.47887999999999</v>
      </c>
      <c r="E57" s="96">
        <f ca="1">IFERROR(IF(C57&lt;0,"à analyser",D57/C57),100%)</f>
        <v>1</v>
      </c>
      <c r="F57" s="75"/>
    </row>
    <row r="58" spans="1:6" x14ac:dyDescent="0.2">
      <c r="A58" s="97" t="s">
        <v>300</v>
      </c>
      <c r="B58" s="98">
        <f ca="1">B56+B57</f>
        <v>179.94367999999997</v>
      </c>
      <c r="C58" s="98">
        <f ca="1">C56+C57</f>
        <v>129.03855999999999</v>
      </c>
      <c r="D58" s="45">
        <f ca="1">B58-C58</f>
        <v>50.905119999999982</v>
      </c>
      <c r="E58" s="96">
        <f ca="1">IFERROR(IF(C58&lt;0,"à analyser",D58/C58),100%)</f>
        <v>0.39449541284403661</v>
      </c>
    </row>
    <row r="59" spans="1:6" ht="13.5" thickBot="1" x14ac:dyDescent="0.25">
      <c r="A59" s="99" t="s">
        <v>295</v>
      </c>
      <c r="B59" s="100">
        <f ca="1">B58/B47</f>
        <v>1.8941439999999996</v>
      </c>
      <c r="C59" s="100">
        <f ca="1">C58/C47</f>
        <v>1.0062639999999998</v>
      </c>
      <c r="D59" s="101">
        <f ca="1">B59-C59</f>
        <v>0.88787999999999978</v>
      </c>
      <c r="E59" s="102">
        <f ca="1">IFERROR(IF(C59&lt;0,"à analyser",D59/C59),100%)</f>
        <v>0.88235294117647056</v>
      </c>
      <c r="F59" s="75" t="s">
        <v>335</v>
      </c>
    </row>
    <row r="60" spans="1:6" ht="13.5" thickBot="1" x14ac:dyDescent="0.25">
      <c r="A60" s="95"/>
      <c r="B60" s="45"/>
      <c r="C60" s="45"/>
      <c r="D60" s="45"/>
      <c r="E60" s="104"/>
    </row>
    <row r="61" spans="1:6" x14ac:dyDescent="0.2">
      <c r="A61" s="91" t="s">
        <v>12</v>
      </c>
      <c r="B61" s="93"/>
      <c r="C61" s="93"/>
      <c r="D61" s="93"/>
      <c r="E61" s="103"/>
    </row>
    <row r="62" spans="1:6" x14ac:dyDescent="0.2">
      <c r="A62" s="95" t="s">
        <v>14</v>
      </c>
      <c r="B62" s="45">
        <f ca="1">B47*$B14*(1-B46)*(1-B41)</f>
        <v>731.02120000000002</v>
      </c>
      <c r="C62" s="45">
        <f ca="1">C47*$B14*(1-C46)*(1-C41)</f>
        <v>838.75063999999998</v>
      </c>
      <c r="D62" s="45">
        <f ca="1">B62-C62</f>
        <v>-107.72943999999995</v>
      </c>
      <c r="E62" s="96">
        <f ca="1">IFERROR(IF(C62&lt;0,"à analyser",D62/C62),100%)</f>
        <v>-0.12844036697247702</v>
      </c>
    </row>
    <row r="63" spans="1:6" x14ac:dyDescent="0.2">
      <c r="A63" s="95" t="s">
        <v>15</v>
      </c>
      <c r="B63" s="45">
        <f>B47*B20*B21</f>
        <v>285</v>
      </c>
      <c r="C63" s="45">
        <f>C47*B20</f>
        <v>256.47058823529414</v>
      </c>
      <c r="D63" s="45">
        <f>B63-C63</f>
        <v>28.529411764705856</v>
      </c>
      <c r="E63" s="96">
        <f>IFERROR(IF(C63&lt;0,"à analyser",D63/C63),100%)</f>
        <v>0.11123853211009163</v>
      </c>
    </row>
    <row r="64" spans="1:6" x14ac:dyDescent="0.2">
      <c r="A64" s="95" t="s">
        <v>1</v>
      </c>
      <c r="B64" s="45">
        <f ca="1">B45*B43*B26*B25</f>
        <v>67.47887999999999</v>
      </c>
      <c r="C64" s="45">
        <f ca="1">C45*C43*C47*B14</f>
        <v>0</v>
      </c>
      <c r="D64" s="45">
        <f ca="1">B64-C64</f>
        <v>67.47887999999999</v>
      </c>
      <c r="E64" s="96">
        <f ca="1">IFERROR(IF(C64&lt;0,"à analyser",D64/C64),100%)</f>
        <v>1</v>
      </c>
    </row>
    <row r="65" spans="1:5" x14ac:dyDescent="0.2">
      <c r="A65" s="97" t="s">
        <v>301</v>
      </c>
      <c r="B65" s="98">
        <f ca="1">B62-B63-B56+B64</f>
        <v>401.03528000000006</v>
      </c>
      <c r="C65" s="98">
        <f ca="1">C62-C63-C56+C64</f>
        <v>453.24149176470587</v>
      </c>
      <c r="D65" s="45">
        <f ca="1">B65-C65</f>
        <v>-52.206211764705813</v>
      </c>
      <c r="E65" s="96">
        <f ca="1">IFERROR(IF(C65&lt;0,"à analyser",D65/C65),100%)</f>
        <v>-0.11518409658709701</v>
      </c>
    </row>
    <row r="66" spans="1:5" ht="13.5" thickBot="1" x14ac:dyDescent="0.25">
      <c r="A66" s="99" t="s">
        <v>295</v>
      </c>
      <c r="B66" s="100">
        <f ca="1">B65/B47</f>
        <v>4.2214240000000007</v>
      </c>
      <c r="C66" s="100">
        <f ca="1">C65/C47</f>
        <v>3.5344519999999995</v>
      </c>
      <c r="D66" s="101">
        <f ca="1">B66-C66</f>
        <v>0.68697200000000125</v>
      </c>
      <c r="E66" s="96">
        <f ca="1">IFERROR(IF(C66&lt;0,"à analyser",D66/C66),100%)</f>
        <v>0.19436450120131815</v>
      </c>
    </row>
    <row r="67" spans="1:5" ht="13.5" thickBot="1" x14ac:dyDescent="0.25">
      <c r="A67" s="95"/>
      <c r="B67" s="45"/>
      <c r="C67" s="45"/>
      <c r="D67" s="45"/>
      <c r="E67" s="104"/>
    </row>
    <row r="68" spans="1:5" x14ac:dyDescent="0.2">
      <c r="A68" s="91" t="s">
        <v>21</v>
      </c>
      <c r="B68" s="93"/>
      <c r="C68" s="93"/>
      <c r="D68" s="93"/>
      <c r="E68" s="94"/>
    </row>
    <row r="69" spans="1:5" x14ac:dyDescent="0.2">
      <c r="A69" s="95" t="s">
        <v>19</v>
      </c>
      <c r="B69" s="45">
        <f ca="1">B39*B47*$B$14</f>
        <v>98.406700000000001</v>
      </c>
      <c r="C69" s="45">
        <f ca="1">C39*C47*$B$14</f>
        <v>132.8338117647059</v>
      </c>
      <c r="D69" s="45">
        <f t="shared" ref="D69:D71" ca="1" si="7">B69-C69</f>
        <v>-34.427111764705899</v>
      </c>
      <c r="E69" s="96">
        <f ca="1">IFERROR(IF(C69&lt;0,"à analyser",D69/C69),100%)</f>
        <v>-0.25917431192660562</v>
      </c>
    </row>
    <row r="70" spans="1:5" x14ac:dyDescent="0.2">
      <c r="A70" s="95" t="s">
        <v>3</v>
      </c>
      <c r="B70" s="45">
        <f ca="1">B46*B47*$B$14*B39</f>
        <v>0</v>
      </c>
      <c r="C70" s="45">
        <f ca="1">C46*C47*$B$14*C39</f>
        <v>19.925071764705887</v>
      </c>
      <c r="D70" s="45">
        <f t="shared" ca="1" si="7"/>
        <v>-19.925071764705887</v>
      </c>
      <c r="E70" s="96">
        <f ca="1">IFERROR(IF(C70&lt;0,"à analyser",D70/C70),100%)</f>
        <v>-1</v>
      </c>
    </row>
    <row r="71" spans="1:5" x14ac:dyDescent="0.2">
      <c r="A71" s="97" t="s">
        <v>302</v>
      </c>
      <c r="B71" s="98">
        <f ca="1">B69-B70</f>
        <v>98.406700000000001</v>
      </c>
      <c r="C71" s="98">
        <f ca="1">C69-C70</f>
        <v>112.90874000000001</v>
      </c>
      <c r="D71" s="45">
        <f t="shared" ca="1" si="7"/>
        <v>-14.502040000000008</v>
      </c>
      <c r="E71" s="96">
        <f ca="1">IFERROR(IF(C71&lt;0,"à analyser",D71/C71),100%)</f>
        <v>-0.12844036697247713</v>
      </c>
    </row>
    <row r="72" spans="1:5" ht="13.5" thickBot="1" x14ac:dyDescent="0.25">
      <c r="A72" s="99" t="s">
        <v>295</v>
      </c>
      <c r="B72" s="100">
        <f ca="1">B71/B47</f>
        <v>1.03586</v>
      </c>
      <c r="C72" s="100">
        <f ca="1">C71/C47</f>
        <v>0.88048099999999996</v>
      </c>
      <c r="D72" s="101">
        <f ca="1">B72-C72</f>
        <v>0.15537900000000004</v>
      </c>
      <c r="E72" s="102">
        <f ca="1">IFERROR(IF(C72&lt;0,"à analyser",D72/C72),100%)</f>
        <v>0.17647058823529418</v>
      </c>
    </row>
    <row r="73" spans="1:5" ht="13.5" thickBot="1" x14ac:dyDescent="0.25">
      <c r="A73" s="95"/>
      <c r="B73" s="45"/>
      <c r="C73" s="45"/>
      <c r="D73" s="45"/>
      <c r="E73" s="105"/>
    </row>
    <row r="74" spans="1:5" x14ac:dyDescent="0.2">
      <c r="A74" s="91" t="s">
        <v>24</v>
      </c>
      <c r="B74" s="93"/>
      <c r="C74" s="93"/>
      <c r="D74" s="93"/>
      <c r="E74" s="94"/>
    </row>
    <row r="75" spans="1:5" x14ac:dyDescent="0.2">
      <c r="A75" s="97" t="s">
        <v>303</v>
      </c>
      <c r="B75" s="98">
        <f ca="1">(B40*B47*$B$14)*(1-B46)+B87</f>
        <v>84.34859999999999</v>
      </c>
      <c r="C75" s="98">
        <f ca="1">(C40*C47*$B$14)*(1-C46)+C87</f>
        <v>96.984237529411757</v>
      </c>
      <c r="D75" s="45">
        <f t="shared" ref="D75" ca="1" si="8">B75-C75</f>
        <v>-12.635637529411767</v>
      </c>
      <c r="E75" s="96">
        <f ca="1">IFERROR(IF(C75&lt;0,"à analyser",D75/C75),100%)</f>
        <v>-0.13028547577723484</v>
      </c>
    </row>
    <row r="76" spans="1:5" ht="13.5" thickBot="1" x14ac:dyDescent="0.25">
      <c r="A76" s="99" t="s">
        <v>295</v>
      </c>
      <c r="B76" s="100">
        <f ca="1">B75/B47</f>
        <v>0.88787999999999989</v>
      </c>
      <c r="C76" s="100">
        <f ca="1">C75/C47</f>
        <v>0.75629909999999989</v>
      </c>
      <c r="D76" s="101">
        <f ca="1">B76-C76</f>
        <v>0.1315809</v>
      </c>
      <c r="E76" s="102">
        <f ca="1">IFERROR(IF(C76&lt;0,"à analyser",D76/C76),100%)</f>
        <v>0.17397997696942918</v>
      </c>
    </row>
    <row r="77" spans="1:5" ht="13.5" thickBot="1" x14ac:dyDescent="0.25">
      <c r="A77" s="95"/>
      <c r="B77" s="45"/>
      <c r="C77" s="45"/>
      <c r="D77" s="45"/>
      <c r="E77" s="105"/>
    </row>
    <row r="78" spans="1:5" x14ac:dyDescent="0.2">
      <c r="A78" s="91" t="s">
        <v>13</v>
      </c>
      <c r="B78" s="93"/>
      <c r="C78" s="93"/>
      <c r="D78" s="93"/>
      <c r="E78" s="94"/>
    </row>
    <row r="79" spans="1:5" x14ac:dyDescent="0.2">
      <c r="A79" s="95" t="s">
        <v>18</v>
      </c>
      <c r="B79" s="45">
        <f ca="1">B26*B25</f>
        <v>1686.9719999999998</v>
      </c>
      <c r="C79" s="45">
        <f ca="1">C47*B14*(1-C46)</f>
        <v>1612.982</v>
      </c>
      <c r="D79" s="45">
        <f ca="1">B79-C79</f>
        <v>73.989999999999782</v>
      </c>
      <c r="E79" s="96">
        <f t="shared" ref="E79:E84" ca="1" si="9">IFERROR(IF(C79&lt;0,"à analyser",D79/C79),100%)</f>
        <v>4.5871559633027387E-2</v>
      </c>
    </row>
    <row r="80" spans="1:5" x14ac:dyDescent="0.2">
      <c r="A80" s="95" t="s">
        <v>25</v>
      </c>
      <c r="B80" s="45">
        <f ca="1">(1-B38)*B47*$B$14*(1-B46)</f>
        <v>913.77649999999994</v>
      </c>
      <c r="C80" s="45">
        <f ca="1">(1-C38)*C47*$B$14*(1-C46)</f>
        <v>1048.4382999999998</v>
      </c>
      <c r="D80" s="45">
        <f t="shared" ref="D80:D83" ca="1" si="10">B80-C80</f>
        <v>-134.66179999999986</v>
      </c>
      <c r="E80" s="96">
        <f t="shared" ca="1" si="9"/>
        <v>-0.12844036697247696</v>
      </c>
    </row>
    <row r="81" spans="1:5" x14ac:dyDescent="0.2">
      <c r="A81" s="95" t="s">
        <v>1</v>
      </c>
      <c r="B81" s="45">
        <f ca="1">B43*B79</f>
        <v>134.95775999999998</v>
      </c>
      <c r="C81" s="45">
        <f ca="1">C43*C79</f>
        <v>0</v>
      </c>
      <c r="D81" s="45">
        <f t="shared" ca="1" si="10"/>
        <v>134.95775999999998</v>
      </c>
      <c r="E81" s="96">
        <f t="shared" ca="1" si="9"/>
        <v>1</v>
      </c>
    </row>
    <row r="82" spans="1:5" x14ac:dyDescent="0.2">
      <c r="A82" s="95" t="s">
        <v>297</v>
      </c>
      <c r="B82" s="45">
        <f ca="1">B48+B49</f>
        <v>36.902512499999993</v>
      </c>
      <c r="C82" s="45">
        <f ca="1">C48+C49</f>
        <v>54.556744117647064</v>
      </c>
      <c r="D82" s="45">
        <f ca="1">B82-C82</f>
        <v>-17.654231617647071</v>
      </c>
      <c r="E82" s="96">
        <f t="shared" ca="1" si="9"/>
        <v>-0.3235939369764661</v>
      </c>
    </row>
    <row r="83" spans="1:5" x14ac:dyDescent="0.2">
      <c r="A83" s="97" t="s">
        <v>305</v>
      </c>
      <c r="B83" s="98">
        <f ca="1">B79-B80-B81-B82+B86</f>
        <v>601.33522749999986</v>
      </c>
      <c r="C83" s="98">
        <f ca="1">C79-C80-C81-C82+C86</f>
        <v>509.98695588235313</v>
      </c>
      <c r="D83" s="45">
        <f t="shared" ca="1" si="10"/>
        <v>91.348271617646731</v>
      </c>
      <c r="E83" s="96">
        <f t="shared" ca="1" si="9"/>
        <v>0.17911883934286252</v>
      </c>
    </row>
    <row r="84" spans="1:5" ht="13.5" thickBot="1" x14ac:dyDescent="0.25">
      <c r="A84" s="99" t="s">
        <v>295</v>
      </c>
      <c r="B84" s="100">
        <f ca="1">B83/B47</f>
        <v>6.3298444999999983</v>
      </c>
      <c r="C84" s="100">
        <f ca="1">C83/C47</f>
        <v>3.9769625000000008</v>
      </c>
      <c r="D84" s="101">
        <f ca="1">B84-C84</f>
        <v>2.3528819999999975</v>
      </c>
      <c r="E84" s="102">
        <f t="shared" ca="1" si="9"/>
        <v>0.59162790697674339</v>
      </c>
    </row>
    <row r="85" spans="1:5" ht="13.5" thickBot="1" x14ac:dyDescent="0.25">
      <c r="A85" s="169"/>
      <c r="B85" s="45"/>
      <c r="C85" s="45"/>
      <c r="D85" s="45"/>
      <c r="E85" s="202"/>
    </row>
    <row r="86" spans="1:5" x14ac:dyDescent="0.2">
      <c r="A86" s="198" t="s">
        <v>26</v>
      </c>
      <c r="B86" s="204">
        <v>0</v>
      </c>
      <c r="C86" s="200">
        <v>0</v>
      </c>
      <c r="D86" s="200"/>
      <c r="E86" s="201"/>
    </row>
    <row r="87" spans="1:5" x14ac:dyDescent="0.2">
      <c r="A87" s="95" t="s">
        <v>330</v>
      </c>
      <c r="B87" s="45">
        <f ca="1">(B15*B46*B47)/1000000*30</f>
        <v>0</v>
      </c>
      <c r="C87" s="45">
        <f ca="1">(B15*C46*C47)/1000000*30</f>
        <v>0.2053175294117647</v>
      </c>
      <c r="D87" s="34"/>
      <c r="E87" s="242"/>
    </row>
    <row r="88" spans="1:5" ht="13.5" thickBot="1" x14ac:dyDescent="0.25">
      <c r="A88" s="252" t="s">
        <v>296</v>
      </c>
      <c r="B88" s="107"/>
      <c r="C88" s="107"/>
      <c r="D88" s="107"/>
      <c r="E88" s="108"/>
    </row>
  </sheetData>
  <conditionalFormatting sqref="E56:E59 E75:E76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E62:E66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E69:E7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E79:E85">
    <cfRule type="cellIs" dxfId="13" priority="13" operator="lessThan">
      <formula>0</formula>
    </cfRule>
    <cfRule type="cellIs" dxfId="12" priority="1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52B6D4-8FC1-4E5D-9AA7-CC165650DE81}">
          <x14:formula1>
            <xm:f>'Calculs CO2'!$A$110:$A$122</xm:f>
          </x14:formula1>
          <xm:sqref>B13</xm:sqref>
        </x14:dataValidation>
        <x14:dataValidation type="list" allowBlank="1" showInputMessage="1" showErrorMessage="1" xr:uid="{7BD17723-EB28-4477-8512-E7771425A6E3}">
          <x14:formula1>
            <xm:f>'Calculs CO2'!$A$135:$A$137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showGridLines="0" zoomScale="90" zoomScaleNormal="90" workbookViewId="0">
      <selection activeCell="K20" sqref="K20"/>
    </sheetView>
  </sheetViews>
  <sheetFormatPr baseColWidth="10" defaultColWidth="11.42578125" defaultRowHeight="10.5" outlineLevelRow="1" x14ac:dyDescent="0.15"/>
  <cols>
    <col min="1" max="1" width="53" style="34" customWidth="1"/>
    <col min="2" max="2" width="6.42578125" style="34" customWidth="1"/>
    <col min="3" max="3" width="17.7109375" style="34" customWidth="1"/>
    <col min="4" max="4" width="18.85546875" style="34" customWidth="1"/>
    <col min="5" max="5" width="14.28515625" style="34" customWidth="1"/>
    <col min="6" max="6" width="15.140625" style="34" customWidth="1"/>
    <col min="7" max="7" width="10.85546875" style="34" customWidth="1"/>
    <col min="8" max="8" width="13.85546875" style="34" customWidth="1"/>
    <col min="9" max="9" width="29.140625" style="34" bestFit="1" customWidth="1"/>
    <col min="10" max="10" width="17.5703125" style="34" bestFit="1" customWidth="1"/>
    <col min="11" max="13" width="16.5703125" style="34" customWidth="1"/>
    <col min="14" max="14" width="19.85546875" style="34" bestFit="1" customWidth="1"/>
    <col min="15" max="15" width="14.42578125" style="34" customWidth="1"/>
    <col min="16" max="16" width="22" style="34" bestFit="1" customWidth="1"/>
    <col min="17" max="16384" width="11.42578125" style="34"/>
  </cols>
  <sheetData>
    <row r="1" spans="1:11" ht="12.75" x14ac:dyDescent="0.2">
      <c r="A1" s="74" t="s">
        <v>292</v>
      </c>
      <c r="B1" s="163"/>
      <c r="C1" s="163"/>
      <c r="D1" s="163"/>
    </row>
    <row r="2" spans="1:11" ht="12.75" x14ac:dyDescent="0.2">
      <c r="A2" s="63"/>
    </row>
    <row r="3" spans="1:11" x14ac:dyDescent="0.15">
      <c r="A3" s="56" t="s">
        <v>323</v>
      </c>
      <c r="C3" s="35" t="s">
        <v>5</v>
      </c>
      <c r="D3" s="165" t="s">
        <v>6</v>
      </c>
    </row>
    <row r="4" spans="1:11" ht="21" outlineLevel="1" x14ac:dyDescent="0.15">
      <c r="A4" s="37" t="s">
        <v>2</v>
      </c>
      <c r="B4" s="38"/>
      <c r="C4" s="36">
        <f>Hypothèses!B16</f>
        <v>30</v>
      </c>
      <c r="D4" s="36"/>
    </row>
    <row r="5" spans="1:11" outlineLevel="1" x14ac:dyDescent="0.15">
      <c r="A5" s="37" t="s">
        <v>8</v>
      </c>
      <c r="B5" s="39"/>
      <c r="C5" s="196">
        <f>Hypothèses!B17</f>
        <v>95</v>
      </c>
      <c r="D5" s="196">
        <f>Hypothèses!B26+Hypothèses!B18+Hypothèses!B33</f>
        <v>109</v>
      </c>
      <c r="E5" s="40" t="s">
        <v>142</v>
      </c>
      <c r="F5" s="34">
        <f>D5*(1-D13)</f>
        <v>92.649999999999991</v>
      </c>
      <c r="G5" s="34" t="s">
        <v>143</v>
      </c>
      <c r="I5" s="41" t="s">
        <v>238</v>
      </c>
      <c r="J5" s="42"/>
    </row>
    <row r="6" spans="1:11" outlineLevel="1" x14ac:dyDescent="0.15">
      <c r="A6" s="36" t="s">
        <v>236</v>
      </c>
      <c r="B6" s="43"/>
      <c r="C6" s="44">
        <f ca="1">Hypothèses!B14</f>
        <v>14.797999999999998</v>
      </c>
      <c r="D6" s="44">
        <f ca="1">Hypothèses!B14</f>
        <v>14.797999999999998</v>
      </c>
      <c r="E6" s="45"/>
      <c r="I6" s="42" t="s">
        <v>239</v>
      </c>
      <c r="J6" s="46">
        <f>'Simul com'' distrib'!D32</f>
        <v>4.2900000000000001E-2</v>
      </c>
    </row>
    <row r="7" spans="1:11" outlineLevel="1" x14ac:dyDescent="0.15">
      <c r="A7" s="37" t="s">
        <v>0</v>
      </c>
      <c r="B7" s="43"/>
      <c r="C7" s="47">
        <f>Hypothèses!B38</f>
        <v>0.35</v>
      </c>
      <c r="D7" s="47">
        <f>Hypothèses!C38</f>
        <v>0.35</v>
      </c>
      <c r="F7" s="45"/>
      <c r="I7" s="42" t="s">
        <v>240</v>
      </c>
      <c r="J7" s="46">
        <f>'Simul com'' distrib'!D33</f>
        <v>3.5000000000000003E-2</v>
      </c>
    </row>
    <row r="8" spans="1:11" outlineLevel="1" x14ac:dyDescent="0.15">
      <c r="A8" s="36" t="s">
        <v>35</v>
      </c>
      <c r="B8" s="43"/>
      <c r="C8" s="47">
        <f>Hypothèses!B39</f>
        <v>7.0000000000000007E-2</v>
      </c>
      <c r="D8" s="47">
        <f>Hypothèses!C39</f>
        <v>7.0000000000000007E-2</v>
      </c>
      <c r="I8" s="42" t="s">
        <v>246</v>
      </c>
      <c r="J8" s="46">
        <f ca="1">J15/J14</f>
        <v>5.6647058823529405E-2</v>
      </c>
      <c r="K8" s="49"/>
    </row>
    <row r="9" spans="1:11" outlineLevel="1" x14ac:dyDescent="0.15">
      <c r="A9" s="36" t="s">
        <v>249</v>
      </c>
      <c r="B9" s="36"/>
      <c r="C9" s="47">
        <f>Hypothèses!B40</f>
        <v>0.06</v>
      </c>
      <c r="D9" s="47">
        <f>Hypothèses!C40</f>
        <v>0.06</v>
      </c>
      <c r="I9" s="42"/>
      <c r="J9" s="42"/>
    </row>
    <row r="10" spans="1:11" outlineLevel="1" x14ac:dyDescent="0.15">
      <c r="A10" s="36" t="s">
        <v>287</v>
      </c>
      <c r="B10" s="36"/>
      <c r="C10" s="47">
        <f>Hypothèses!B41</f>
        <v>0.48</v>
      </c>
      <c r="D10" s="47">
        <f>Hypothèses!C41</f>
        <v>0.48</v>
      </c>
      <c r="I10" s="42" t="s">
        <v>241</v>
      </c>
      <c r="J10" s="50">
        <f ca="1">D5*D6</f>
        <v>1612.9819999999997</v>
      </c>
    </row>
    <row r="11" spans="1:11" outlineLevel="1" x14ac:dyDescent="0.15">
      <c r="A11" s="36" t="s">
        <v>34</v>
      </c>
      <c r="B11" s="43"/>
      <c r="C11" s="47">
        <f>Hypothèses!B42</f>
        <v>0.08</v>
      </c>
      <c r="D11" s="47">
        <f>Hypothèses!C42</f>
        <v>0.08</v>
      </c>
      <c r="E11" s="49"/>
      <c r="I11" s="42" t="s">
        <v>7</v>
      </c>
      <c r="J11" s="48">
        <f>D13</f>
        <v>0.15</v>
      </c>
    </row>
    <row r="12" spans="1:11" outlineLevel="1" x14ac:dyDescent="0.15">
      <c r="A12" s="36" t="s">
        <v>1</v>
      </c>
      <c r="B12" s="43"/>
      <c r="C12" s="47">
        <f>Hypothèses!B43</f>
        <v>0.08</v>
      </c>
      <c r="D12" s="47">
        <f>Hypothèses!C43</f>
        <v>0</v>
      </c>
      <c r="I12" s="42" t="s">
        <v>243</v>
      </c>
      <c r="J12" s="50">
        <f ca="1">J10</f>
        <v>1612.9819999999997</v>
      </c>
    </row>
    <row r="13" spans="1:11" outlineLevel="1" x14ac:dyDescent="0.15">
      <c r="A13" s="36" t="s">
        <v>7</v>
      </c>
      <c r="B13" s="51"/>
      <c r="C13" s="47">
        <f>Hypothèses!B46</f>
        <v>0</v>
      </c>
      <c r="D13" s="47">
        <f>Hypothèses!C46</f>
        <v>0.15</v>
      </c>
      <c r="I13" s="42" t="s">
        <v>244</v>
      </c>
      <c r="J13" s="50">
        <f ca="1">J11*J10</f>
        <v>241.94729999999996</v>
      </c>
    </row>
    <row r="14" spans="1:11" outlineLevel="1" x14ac:dyDescent="0.15">
      <c r="A14" s="36" t="s">
        <v>9</v>
      </c>
      <c r="B14" s="51"/>
      <c r="C14" s="36">
        <f>Hypothèses!B26</f>
        <v>60</v>
      </c>
      <c r="D14" s="36"/>
      <c r="I14" s="42" t="s">
        <v>242</v>
      </c>
      <c r="J14" s="50">
        <f ca="1">J12-J13</f>
        <v>1371.0346999999997</v>
      </c>
    </row>
    <row r="15" spans="1:11" outlineLevel="1" x14ac:dyDescent="0.15">
      <c r="A15" s="36" t="s">
        <v>33</v>
      </c>
      <c r="B15" s="51"/>
      <c r="C15" s="36">
        <f>Hypothèses!B18</f>
        <v>30</v>
      </c>
      <c r="D15" s="36"/>
      <c r="I15" s="42" t="s">
        <v>245</v>
      </c>
      <c r="J15" s="52">
        <f ca="1">J16</f>
        <v>77.665083299999978</v>
      </c>
      <c r="K15" s="34" t="s">
        <v>248</v>
      </c>
    </row>
    <row r="16" spans="1:11" outlineLevel="1" x14ac:dyDescent="0.15">
      <c r="A16" s="36" t="s">
        <v>4</v>
      </c>
      <c r="B16" s="51"/>
      <c r="C16" s="53">
        <f ca="1">Hypothèses!B25</f>
        <v>28.116199999999996</v>
      </c>
      <c r="D16" s="53"/>
      <c r="E16" s="45">
        <f ca="1">C16*1.055</f>
        <v>29.662590999999992</v>
      </c>
      <c r="F16" s="34" t="s">
        <v>36</v>
      </c>
      <c r="I16" s="42" t="s">
        <v>247</v>
      </c>
      <c r="J16" s="50">
        <f ca="1">J6*J12+J7*J13</f>
        <v>77.665083299999978</v>
      </c>
    </row>
    <row r="17" spans="1:8" outlineLevel="1" x14ac:dyDescent="0.15">
      <c r="A17" s="36" t="s">
        <v>20</v>
      </c>
      <c r="B17" s="51"/>
      <c r="C17" s="196">
        <f>C5</f>
        <v>95</v>
      </c>
      <c r="D17" s="196">
        <f>D5</f>
        <v>109</v>
      </c>
    </row>
    <row r="18" spans="1:8" outlineLevel="1" x14ac:dyDescent="0.15">
      <c r="A18" s="36" t="s">
        <v>10</v>
      </c>
      <c r="B18" s="51"/>
      <c r="C18" s="51">
        <f ca="1">Hypothèses!B48</f>
        <v>0</v>
      </c>
      <c r="D18" s="51">
        <f ca="1">Hypothèses!C48</f>
        <v>7.1160970588235299</v>
      </c>
    </row>
    <row r="19" spans="1:8" outlineLevel="1" x14ac:dyDescent="0.15">
      <c r="A19" s="36" t="s">
        <v>11</v>
      </c>
      <c r="B19" s="51"/>
      <c r="C19" s="51">
        <f ca="1">Hypothèses!B49</f>
        <v>36.902512499999993</v>
      </c>
      <c r="D19" s="51">
        <f ca="1">Hypothèses!C49</f>
        <v>47.440647058823536</v>
      </c>
    </row>
    <row r="21" spans="1:8" ht="11.25" thickBot="1" x14ac:dyDescent="0.2"/>
    <row r="22" spans="1:8" ht="32.25" thickBot="1" x14ac:dyDescent="0.2">
      <c r="B22" s="45"/>
      <c r="C22" s="89" t="s">
        <v>5</v>
      </c>
      <c r="D22" s="90" t="s">
        <v>6</v>
      </c>
      <c r="E22" s="90" t="s">
        <v>324</v>
      </c>
      <c r="F22" s="90" t="s">
        <v>325</v>
      </c>
      <c r="H22" s="55"/>
    </row>
    <row r="23" spans="1:8" x14ac:dyDescent="0.15">
      <c r="A23" s="91" t="s">
        <v>16</v>
      </c>
      <c r="B23" s="92"/>
      <c r="C23" s="93"/>
      <c r="D23" s="93"/>
      <c r="E23" s="93"/>
      <c r="F23" s="94"/>
    </row>
    <row r="24" spans="1:8" outlineLevel="1" x14ac:dyDescent="0.15">
      <c r="A24" s="95" t="s">
        <v>17</v>
      </c>
      <c r="C24" s="45">
        <f ca="1">(C5*C6*C11)*(1-C13)</f>
        <v>112.4648</v>
      </c>
      <c r="D24" s="45">
        <f ca="1">(D5*D6*D11)*(1-D13)</f>
        <v>109.68277599999999</v>
      </c>
      <c r="E24" s="45">
        <f ca="1">C24-D24</f>
        <v>2.7820240000000069</v>
      </c>
      <c r="F24" s="96">
        <f ca="1">IFERROR(IF(D24&lt;0,"à analyser",E24/D24),100%)</f>
        <v>2.5364274150027049E-2</v>
      </c>
    </row>
    <row r="25" spans="1:8" outlineLevel="1" x14ac:dyDescent="0.15">
      <c r="A25" s="95" t="s">
        <v>1</v>
      </c>
      <c r="B25" s="164"/>
      <c r="C25" s="45">
        <f ca="1">Hypothèses!B44*C12*C48</f>
        <v>67.47887999999999</v>
      </c>
      <c r="D25" s="45">
        <f ca="1">Hypothèses!C44*D12*D48</f>
        <v>0</v>
      </c>
      <c r="E25" s="45">
        <f ca="1">C25-D25</f>
        <v>67.47887999999999</v>
      </c>
      <c r="F25" s="96">
        <f ca="1">IFERROR(IF(D25&lt;0,"à analyser",E25/D25),100%)</f>
        <v>1</v>
      </c>
    </row>
    <row r="26" spans="1:8" x14ac:dyDescent="0.15">
      <c r="A26" s="97" t="s">
        <v>300</v>
      </c>
      <c r="B26" s="98"/>
      <c r="C26" s="98">
        <f ca="1">C24+C25</f>
        <v>179.94367999999997</v>
      </c>
      <c r="D26" s="98">
        <f ca="1">D24+D25</f>
        <v>109.68277599999999</v>
      </c>
      <c r="E26" s="45">
        <f ca="1">C26-D26</f>
        <v>70.260903999999982</v>
      </c>
      <c r="F26" s="96">
        <f ca="1">IFERROR(IF(D26&lt;0,"à analyser",E26/D26),100%)</f>
        <v>0.64058283864004306</v>
      </c>
    </row>
    <row r="27" spans="1:8" ht="11.25" thickBot="1" x14ac:dyDescent="0.2">
      <c r="A27" s="99" t="s">
        <v>295</v>
      </c>
      <c r="B27" s="100"/>
      <c r="C27" s="100">
        <f ca="1">C26/C$17</f>
        <v>1.8941439999999996</v>
      </c>
      <c r="D27" s="100">
        <f ca="1">D26/D$17</f>
        <v>1.0062639999999998</v>
      </c>
      <c r="E27" s="101">
        <f ca="1">C27-D27</f>
        <v>0.88787999999999978</v>
      </c>
      <c r="F27" s="102">
        <f ca="1">IFERROR(IF(D27&lt;0,"à analyser",E27/D27),100%)</f>
        <v>0.88235294117647056</v>
      </c>
      <c r="H27" s="55"/>
    </row>
    <row r="28" spans="1:8" ht="11.25" thickBot="1" x14ac:dyDescent="0.2">
      <c r="A28" s="95"/>
      <c r="B28" s="45"/>
      <c r="C28" s="45"/>
      <c r="D28" s="45"/>
      <c r="E28" s="45"/>
      <c r="F28" s="104"/>
    </row>
    <row r="29" spans="1:8" x14ac:dyDescent="0.15">
      <c r="A29" s="91" t="s">
        <v>12</v>
      </c>
      <c r="B29" s="92"/>
      <c r="C29" s="93"/>
      <c r="D29" s="93"/>
      <c r="E29" s="93"/>
      <c r="F29" s="103"/>
    </row>
    <row r="30" spans="1:8" outlineLevel="1" x14ac:dyDescent="0.15">
      <c r="A30" s="95" t="s">
        <v>14</v>
      </c>
      <c r="B30" s="45"/>
      <c r="C30" s="45">
        <f ca="1">C5*C6*(1-C10)*(1-C13)</f>
        <v>731.02120000000002</v>
      </c>
      <c r="D30" s="45">
        <f ca="1">D5*D6*(1-D10)*(1-D13)</f>
        <v>712.93804399999988</v>
      </c>
      <c r="E30" s="45">
        <f ca="1">C30-D30</f>
        <v>18.083156000000145</v>
      </c>
      <c r="F30" s="96">
        <f ca="1">IFERROR(IF(D30&lt;0,"à analyser",E30/D30),100%)</f>
        <v>2.5364274150027191E-2</v>
      </c>
    </row>
    <row r="31" spans="1:8" outlineLevel="1" x14ac:dyDescent="0.15">
      <c r="A31" s="95" t="s">
        <v>15</v>
      </c>
      <c r="B31" s="45"/>
      <c r="C31" s="45">
        <f>Hypothèses!B20*Hypothèses!B21*C17</f>
        <v>285</v>
      </c>
      <c r="D31" s="45">
        <f>Hypothèses!B20*D17</f>
        <v>218</v>
      </c>
      <c r="E31" s="45">
        <f>C31-D31</f>
        <v>67</v>
      </c>
      <c r="F31" s="96">
        <f>IFERROR(IF(D31&lt;0,"à analyser",E31/D31),100%)</f>
        <v>0.30733944954128439</v>
      </c>
    </row>
    <row r="32" spans="1:8" outlineLevel="1" x14ac:dyDescent="0.15">
      <c r="A32" s="95" t="s">
        <v>1</v>
      </c>
      <c r="B32" s="45"/>
      <c r="C32" s="45">
        <f ca="1">Hypothèses!B45*C48*C12</f>
        <v>67.47887999999999</v>
      </c>
      <c r="D32" s="45">
        <f ca="1">Hypothèses!C45*D48*D12</f>
        <v>0</v>
      </c>
      <c r="E32" s="45">
        <f ca="1">C32-D32</f>
        <v>67.47887999999999</v>
      </c>
      <c r="F32" s="96">
        <f ca="1">IFERROR(IF(D32&lt;0,"à analyser",E32/D32),100%)</f>
        <v>1</v>
      </c>
    </row>
    <row r="33" spans="1:9" x14ac:dyDescent="0.15">
      <c r="A33" s="97" t="s">
        <v>301</v>
      </c>
      <c r="B33" s="98"/>
      <c r="C33" s="98">
        <f ca="1">C30-C31-C24+C32</f>
        <v>401.03528000000006</v>
      </c>
      <c r="D33" s="98">
        <f ca="1">D30-D31-D24+D32</f>
        <v>385.25526799999989</v>
      </c>
      <c r="E33" s="45">
        <f ca="1">C33-D33</f>
        <v>15.78001200000017</v>
      </c>
      <c r="F33" s="96">
        <f ca="1">IFERROR(IF(D33&lt;0,"à analyser",E33/D33),100%)</f>
        <v>4.0959886368121444E-2</v>
      </c>
    </row>
    <row r="34" spans="1:9" ht="11.25" thickBot="1" x14ac:dyDescent="0.2">
      <c r="A34" s="99" t="s">
        <v>295</v>
      </c>
      <c r="B34" s="100"/>
      <c r="C34" s="100">
        <f ca="1">C33/C$17</f>
        <v>4.2214240000000007</v>
      </c>
      <c r="D34" s="100">
        <f ca="1">D33/D$17</f>
        <v>3.534451999999999</v>
      </c>
      <c r="E34" s="101">
        <f ca="1">C34-D34</f>
        <v>0.68697200000000169</v>
      </c>
      <c r="F34" s="96">
        <f ca="1">IFERROR(IF(D34&lt;0,"à analyser",E34/D34),100%)</f>
        <v>0.19436450120131829</v>
      </c>
    </row>
    <row r="35" spans="1:9" ht="11.25" thickBot="1" x14ac:dyDescent="0.2">
      <c r="A35" s="95"/>
      <c r="B35" s="45"/>
      <c r="C35" s="45"/>
      <c r="D35" s="45"/>
      <c r="E35" s="45"/>
      <c r="F35" s="104"/>
    </row>
    <row r="36" spans="1:9" ht="17.100000000000001" customHeight="1" x14ac:dyDescent="0.15">
      <c r="A36" s="91" t="s">
        <v>21</v>
      </c>
      <c r="B36" s="92"/>
      <c r="C36" s="93"/>
      <c r="D36" s="93"/>
      <c r="E36" s="93"/>
      <c r="F36" s="94"/>
    </row>
    <row r="37" spans="1:9" ht="17.100000000000001" customHeight="1" outlineLevel="1" x14ac:dyDescent="0.15">
      <c r="A37" s="95" t="s">
        <v>19</v>
      </c>
      <c r="B37" s="45"/>
      <c r="C37" s="45">
        <f ca="1">C5*C6*C8</f>
        <v>98.406700000000001</v>
      </c>
      <c r="D37" s="45">
        <f ca="1">D5*D6*D8</f>
        <v>112.90873999999999</v>
      </c>
      <c r="E37" s="45">
        <f t="shared" ref="E37:E39" ca="1" si="0">C37-D37</f>
        <v>-14.502039999999994</v>
      </c>
      <c r="F37" s="96">
        <f ca="1">IFERROR(IF(D37&lt;0,"à analyser",E37/D37),100%)</f>
        <v>-0.12844036697247702</v>
      </c>
      <c r="H37" s="197"/>
      <c r="I37" s="197"/>
    </row>
    <row r="38" spans="1:9" ht="17.100000000000001" customHeight="1" outlineLevel="1" x14ac:dyDescent="0.15">
      <c r="A38" s="95" t="s">
        <v>3</v>
      </c>
      <c r="B38" s="45"/>
      <c r="C38" s="45">
        <f ca="1">-C13*C37</f>
        <v>0</v>
      </c>
      <c r="D38" s="45">
        <f ca="1">-D5*D6*D13*D8</f>
        <v>-16.936311</v>
      </c>
      <c r="E38" s="45">
        <f t="shared" ca="1" si="0"/>
        <v>16.936311</v>
      </c>
      <c r="F38" s="96" t="str">
        <f ca="1">IFERROR(IF(D38&lt;0,"à analyser",E38/D38),100%)</f>
        <v>à analyser</v>
      </c>
    </row>
    <row r="39" spans="1:9" ht="17.100000000000001" customHeight="1" x14ac:dyDescent="0.15">
      <c r="A39" s="97" t="s">
        <v>302</v>
      </c>
      <c r="B39" s="98"/>
      <c r="C39" s="98">
        <f ca="1">C37+C38</f>
        <v>98.406700000000001</v>
      </c>
      <c r="D39" s="98">
        <f ca="1">D37+D38</f>
        <v>95.972428999999991</v>
      </c>
      <c r="E39" s="45">
        <f t="shared" ca="1" si="0"/>
        <v>2.4342710000000096</v>
      </c>
      <c r="F39" s="96">
        <f ca="1">IFERROR(IF(D39&lt;0,"à analyser",E39/D39),100%)</f>
        <v>2.5364274150027087E-2</v>
      </c>
    </row>
    <row r="40" spans="1:9" ht="9.9499999999999993" customHeight="1" thickBot="1" x14ac:dyDescent="0.2">
      <c r="A40" s="99" t="s">
        <v>295</v>
      </c>
      <c r="B40" s="100"/>
      <c r="C40" s="100">
        <f ca="1">C39/C$17</f>
        <v>1.03586</v>
      </c>
      <c r="D40" s="100">
        <f ca="1">D39/D$17</f>
        <v>0.88048099999999996</v>
      </c>
      <c r="E40" s="101">
        <f ca="1">C40-D40</f>
        <v>0.15537900000000004</v>
      </c>
      <c r="F40" s="102">
        <f ca="1">IFERROR(IF(D40&lt;0,"à analyser",E40/D40),100%)</f>
        <v>0.17647058823529418</v>
      </c>
    </row>
    <row r="41" spans="1:9" ht="11.25" thickBot="1" x14ac:dyDescent="0.2">
      <c r="A41" s="95"/>
      <c r="B41" s="45"/>
      <c r="C41" s="45"/>
      <c r="D41" s="45"/>
      <c r="E41" s="45"/>
      <c r="F41" s="105"/>
    </row>
    <row r="42" spans="1:9" ht="17.100000000000001" customHeight="1" x14ac:dyDescent="0.15">
      <c r="A42" s="91" t="s">
        <v>24</v>
      </c>
      <c r="B42" s="93"/>
      <c r="C42" s="93"/>
      <c r="D42" s="93"/>
      <c r="E42" s="93"/>
      <c r="F42" s="94"/>
    </row>
    <row r="43" spans="1:9" ht="17.100000000000001" customHeight="1" x14ac:dyDescent="0.15">
      <c r="A43" s="97" t="s">
        <v>303</v>
      </c>
      <c r="B43" s="166"/>
      <c r="C43" s="98">
        <f ca="1">(1-C13)*C5*C6*C9+C56</f>
        <v>84.34859999999999</v>
      </c>
      <c r="D43" s="98">
        <f ca="1">(1-D13)*D5*D6*D9+D56</f>
        <v>82.436601899999985</v>
      </c>
      <c r="E43" s="45">
        <f t="shared" ref="E43:E44" ca="1" si="1">C43-D43</f>
        <v>1.9119981000000053</v>
      </c>
      <c r="F43" s="96">
        <f ca="1">IFERROR(IF(D43&lt;0,"à analyser",E43/D43),100%)</f>
        <v>2.3193557909135572E-2</v>
      </c>
      <c r="H43" s="55" t="s">
        <v>237</v>
      </c>
    </row>
    <row r="44" spans="1:9" ht="17.100000000000001" customHeight="1" x14ac:dyDescent="0.15">
      <c r="A44" s="97" t="s">
        <v>304</v>
      </c>
      <c r="B44" s="98"/>
      <c r="C44" s="98">
        <f ca="1">($J$6*C5*C6+$J$7*C13*C5*C6)+C56</f>
        <v>60.309248999999994</v>
      </c>
      <c r="D44" s="98">
        <f ca="1">($J$6*D5*D6+$J$7*D13*D5*D6)+D56</f>
        <v>77.839603199999999</v>
      </c>
      <c r="E44" s="45">
        <f t="shared" ca="1" si="1"/>
        <v>-17.530354200000005</v>
      </c>
      <c r="F44" s="96">
        <f ca="1">IFERROR(IF(D44&lt;0,"à analyser",E44/D44),100%)</f>
        <v>-0.22521124825055641</v>
      </c>
      <c r="H44" s="55"/>
    </row>
    <row r="45" spans="1:9" ht="11.25" thickBot="1" x14ac:dyDescent="0.2">
      <c r="A45" s="99" t="s">
        <v>295</v>
      </c>
      <c r="B45" s="100"/>
      <c r="C45" s="100">
        <f ca="1">C43/C$17</f>
        <v>0.88787999999999989</v>
      </c>
      <c r="D45" s="100">
        <f ca="1">D43/D$17</f>
        <v>0.75629909999999989</v>
      </c>
      <c r="E45" s="101">
        <f ca="1">C45-D45</f>
        <v>0.1315809</v>
      </c>
      <c r="F45" s="102">
        <f ca="1">IFERROR(IF(D45&lt;0,"à analyser",E45/D45),100%)</f>
        <v>0.17397997696942918</v>
      </c>
    </row>
    <row r="46" spans="1:9" ht="11.25" thickBot="1" x14ac:dyDescent="0.2">
      <c r="A46" s="95"/>
      <c r="B46" s="45"/>
      <c r="C46" s="45"/>
      <c r="D46" s="45"/>
      <c r="E46" s="45"/>
      <c r="F46" s="105"/>
    </row>
    <row r="47" spans="1:9" x14ac:dyDescent="0.15">
      <c r="A47" s="91" t="s">
        <v>13</v>
      </c>
      <c r="B47" s="93"/>
      <c r="C47" s="93"/>
      <c r="D47" s="93"/>
      <c r="E47" s="93"/>
      <c r="F47" s="94"/>
    </row>
    <row r="48" spans="1:9" outlineLevel="1" x14ac:dyDescent="0.15">
      <c r="A48" s="95" t="s">
        <v>18</v>
      </c>
      <c r="B48" s="45"/>
      <c r="C48" s="45">
        <f ca="1">C16*C14</f>
        <v>1686.9719999999998</v>
      </c>
      <c r="D48" s="45">
        <f ca="1">D5*D6*(1-D13)</f>
        <v>1371.0346999999997</v>
      </c>
      <c r="E48" s="45">
        <f ca="1">C48-D48</f>
        <v>315.93730000000005</v>
      </c>
      <c r="F48" s="96">
        <f t="shared" ref="F48:F53" ca="1" si="2">IFERROR(IF(D48&lt;0,"à analyser",E48/D48),100%)</f>
        <v>0.23043712898003246</v>
      </c>
      <c r="H48" s="34" t="s">
        <v>306</v>
      </c>
    </row>
    <row r="49" spans="1:8" outlineLevel="1" x14ac:dyDescent="0.15">
      <c r="A49" s="95" t="s">
        <v>25</v>
      </c>
      <c r="B49" s="45"/>
      <c r="C49" s="45">
        <f ca="1">C5*C6*(1-C7)*(1-C13)</f>
        <v>913.77649999999994</v>
      </c>
      <c r="D49" s="45">
        <f ca="1">D5*D6*(1-D7)*(1-D13)</f>
        <v>891.17255499999976</v>
      </c>
      <c r="E49" s="45">
        <f t="shared" ref="E49:E52" ca="1" si="3">C49-D49</f>
        <v>22.603945000000181</v>
      </c>
      <c r="F49" s="96">
        <f t="shared" ca="1" si="2"/>
        <v>2.5364274150027191E-2</v>
      </c>
    </row>
    <row r="50" spans="1:8" outlineLevel="1" x14ac:dyDescent="0.15">
      <c r="A50" s="95" t="s">
        <v>1</v>
      </c>
      <c r="B50" s="45"/>
      <c r="C50" s="45">
        <f ca="1">C48*C12</f>
        <v>134.95775999999998</v>
      </c>
      <c r="D50" s="45">
        <f ca="1">D48*D12</f>
        <v>0</v>
      </c>
      <c r="E50" s="45">
        <f t="shared" ca="1" si="3"/>
        <v>134.95775999999998</v>
      </c>
      <c r="F50" s="96">
        <f t="shared" ca="1" si="2"/>
        <v>1</v>
      </c>
    </row>
    <row r="51" spans="1:8" outlineLevel="1" x14ac:dyDescent="0.15">
      <c r="A51" s="95" t="s">
        <v>297</v>
      </c>
      <c r="B51" s="45"/>
      <c r="C51" s="45">
        <f ca="1">Hypothèses!B49+Hypothèses!B48</f>
        <v>36.902512499999993</v>
      </c>
      <c r="D51" s="45">
        <f ca="1">Hypothèses!C49+Hypothèses!C48</f>
        <v>54.556744117647064</v>
      </c>
      <c r="E51" s="45">
        <f ca="1">C51-D51</f>
        <v>-17.654231617647071</v>
      </c>
      <c r="F51" s="96">
        <f t="shared" ca="1" si="2"/>
        <v>-0.3235939369764661</v>
      </c>
    </row>
    <row r="52" spans="1:8" x14ac:dyDescent="0.15">
      <c r="A52" s="97" t="s">
        <v>305</v>
      </c>
      <c r="B52" s="98"/>
      <c r="C52" s="98">
        <f ca="1">C48-C49-C50-C51+C55</f>
        <v>601.33522749999986</v>
      </c>
      <c r="D52" s="98">
        <f ca="1">D48-D49-D50-D51+D55</f>
        <v>425.3054008823529</v>
      </c>
      <c r="E52" s="45">
        <f t="shared" ca="1" si="3"/>
        <v>176.02982661764696</v>
      </c>
      <c r="F52" s="96">
        <f t="shared" ca="1" si="2"/>
        <v>0.41389040969724239</v>
      </c>
      <c r="G52" s="45"/>
    </row>
    <row r="53" spans="1:8" ht="11.25" thickBot="1" x14ac:dyDescent="0.2">
      <c r="A53" s="99" t="s">
        <v>295</v>
      </c>
      <c r="B53" s="100"/>
      <c r="C53" s="100">
        <f ca="1">C52/C$17</f>
        <v>6.3298444999999983</v>
      </c>
      <c r="D53" s="100">
        <f ca="1">D52/D$17</f>
        <v>3.9018844117647054</v>
      </c>
      <c r="E53" s="101">
        <f ca="1">C53-D53</f>
        <v>2.427960088235293</v>
      </c>
      <c r="F53" s="102">
        <f t="shared" ca="1" si="2"/>
        <v>0.62225320691578334</v>
      </c>
    </row>
    <row r="54" spans="1:8" ht="11.25" thickBot="1" x14ac:dyDescent="0.2">
      <c r="A54" s="169"/>
      <c r="B54" s="45"/>
      <c r="C54" s="45"/>
      <c r="D54" s="45"/>
      <c r="E54" s="45"/>
      <c r="F54" s="202"/>
    </row>
    <row r="55" spans="1:8" x14ac:dyDescent="0.15">
      <c r="A55" s="198" t="s">
        <v>26</v>
      </c>
      <c r="B55" s="199"/>
      <c r="C55" s="204">
        <v>0</v>
      </c>
      <c r="D55" s="200">
        <v>0</v>
      </c>
      <c r="E55" s="200"/>
      <c r="F55" s="201"/>
    </row>
    <row r="56" spans="1:8" x14ac:dyDescent="0.15">
      <c r="A56" s="95" t="s">
        <v>330</v>
      </c>
      <c r="B56" s="45"/>
      <c r="C56" s="45">
        <f ca="1">((C5*Hypothèses!$B$46*Hypothèses!$B$15)/1000000)*30</f>
        <v>0</v>
      </c>
      <c r="D56" s="45">
        <f ca="1">((D5*Hypothèses!$C$46*Hypothèses!$B$15)/1000000)*30</f>
        <v>0.17451989999999998</v>
      </c>
      <c r="F56" s="242"/>
    </row>
    <row r="57" spans="1:8" ht="11.25" thickBot="1" x14ac:dyDescent="0.2">
      <c r="A57" s="106" t="s">
        <v>296</v>
      </c>
      <c r="B57" s="101"/>
      <c r="C57" s="107"/>
      <c r="D57" s="107"/>
      <c r="E57" s="107"/>
      <c r="F57" s="108"/>
    </row>
    <row r="58" spans="1:8" outlineLevel="1" x14ac:dyDescent="0.15">
      <c r="A58" s="95"/>
      <c r="B58" s="45"/>
      <c r="C58" s="45"/>
      <c r="D58" s="45"/>
      <c r="E58" s="45"/>
      <c r="F58" s="105"/>
    </row>
    <row r="59" spans="1:8" ht="11.25" thickBot="1" x14ac:dyDescent="0.2">
      <c r="B59" s="45"/>
    </row>
    <row r="60" spans="1:8" ht="42" x14ac:dyDescent="0.15">
      <c r="A60" s="195" t="s">
        <v>293</v>
      </c>
      <c r="B60" s="57"/>
      <c r="C60" s="54" t="s">
        <v>5</v>
      </c>
      <c r="D60" s="54" t="s">
        <v>6</v>
      </c>
      <c r="E60" s="170" t="s">
        <v>289</v>
      </c>
      <c r="F60" s="172" t="s">
        <v>298</v>
      </c>
      <c r="G60" s="173" t="s">
        <v>299</v>
      </c>
    </row>
    <row r="61" spans="1:8" x14ac:dyDescent="0.15">
      <c r="A61" s="284" t="s">
        <v>27</v>
      </c>
      <c r="B61" s="284"/>
      <c r="C61" s="168">
        <f ca="1">$C$48+$C$55</f>
        <v>1686.9719999999998</v>
      </c>
      <c r="D61" s="168">
        <f ca="1">$D$48+$D$55</f>
        <v>1371.0346999999997</v>
      </c>
      <c r="E61" s="171"/>
      <c r="F61" s="174">
        <f ca="1">(C61/D61)-1</f>
        <v>0.23043712898003244</v>
      </c>
      <c r="G61" s="175">
        <f ca="1">C61-D61</f>
        <v>315.93730000000005</v>
      </c>
      <c r="H61" s="34" t="s">
        <v>307</v>
      </c>
    </row>
    <row r="62" spans="1:8" x14ac:dyDescent="0.15">
      <c r="A62" s="285" t="s">
        <v>37</v>
      </c>
      <c r="B62" s="286"/>
      <c r="C62" s="36"/>
      <c r="D62" s="36"/>
      <c r="E62" s="171"/>
      <c r="F62" s="176"/>
      <c r="G62" s="177"/>
    </row>
    <row r="63" spans="1:8" x14ac:dyDescent="0.15">
      <c r="A63" s="287" t="s">
        <v>28</v>
      </c>
      <c r="B63" s="288"/>
      <c r="C63" s="162">
        <f ca="1">C26/$C61</f>
        <v>0.10666666666666666</v>
      </c>
      <c r="D63" s="162">
        <f ca="1">D26/$D$61</f>
        <v>8.0000000000000016E-2</v>
      </c>
      <c r="E63" s="171">
        <f ca="1">C63-D63</f>
        <v>2.6666666666666644E-2</v>
      </c>
      <c r="F63" s="180">
        <f ca="1">F26</f>
        <v>0.64058283864004306</v>
      </c>
      <c r="G63" s="178">
        <f ca="1">E26</f>
        <v>70.260903999999982</v>
      </c>
    </row>
    <row r="64" spans="1:8" x14ac:dyDescent="0.15">
      <c r="A64" s="287" t="s">
        <v>31</v>
      </c>
      <c r="B64" s="288"/>
      <c r="C64" s="162">
        <f ca="1">C33/$C$61</f>
        <v>0.23772491778168228</v>
      </c>
      <c r="D64" s="162">
        <f ca="1">D33/$D$61</f>
        <v>0.28099600104942635</v>
      </c>
      <c r="E64" s="171">
        <f ca="1">C64-D64</f>
        <v>-4.3271083267744065E-2</v>
      </c>
      <c r="F64" s="180">
        <f ca="1">F33</f>
        <v>4.0959886368121444E-2</v>
      </c>
      <c r="G64" s="178">
        <f ca="1">E33</f>
        <v>15.78001200000017</v>
      </c>
    </row>
    <row r="65" spans="1:8" x14ac:dyDescent="0.15">
      <c r="A65" s="287" t="s">
        <v>29</v>
      </c>
      <c r="B65" s="288"/>
      <c r="C65" s="162">
        <f ca="1">C39/$C$61</f>
        <v>5.8333333333333341E-2</v>
      </c>
      <c r="D65" s="162">
        <f ca="1">D39/$D$61</f>
        <v>7.0000000000000007E-2</v>
      </c>
      <c r="E65" s="171">
        <f ca="1">C65-D65</f>
        <v>-1.1666666666666665E-2</v>
      </c>
      <c r="F65" s="180">
        <f ca="1">F39</f>
        <v>2.5364274150027087E-2</v>
      </c>
      <c r="G65" s="178">
        <f ca="1">E39</f>
        <v>2.4342710000000096</v>
      </c>
    </row>
    <row r="66" spans="1:8" x14ac:dyDescent="0.15">
      <c r="A66" s="287" t="s">
        <v>30</v>
      </c>
      <c r="B66" s="288"/>
      <c r="C66" s="162">
        <f ca="1">C43/$C$61</f>
        <v>0.05</v>
      </c>
      <c r="D66" s="162">
        <f ca="1">D43/$D$61</f>
        <v>6.0127290651359883E-2</v>
      </c>
      <c r="E66" s="171">
        <f ca="1">C66-D66</f>
        <v>-1.012729065135988E-2</v>
      </c>
      <c r="F66" s="180">
        <f ca="1">F43</f>
        <v>2.3193557909135572E-2</v>
      </c>
      <c r="G66" s="178">
        <f ca="1">E43</f>
        <v>1.9119981000000053</v>
      </c>
    </row>
    <row r="67" spans="1:8" x14ac:dyDescent="0.15">
      <c r="A67" s="282" t="s">
        <v>32</v>
      </c>
      <c r="B67" s="283"/>
      <c r="C67" s="206">
        <f ca="1">C52/$C$61</f>
        <v>0.35645833333333332</v>
      </c>
      <c r="D67" s="206">
        <f ca="1">D52/$D$61</f>
        <v>0.31020761245674744</v>
      </c>
      <c r="E67" s="207">
        <f t="shared" ref="E67:E69" ca="1" si="4">C67-D67</f>
        <v>4.6250720876585882E-2</v>
      </c>
      <c r="F67" s="208">
        <f ca="1">F52</f>
        <v>0.41389040969724239</v>
      </c>
      <c r="G67" s="209">
        <f ca="1">E52</f>
        <v>176.02982661764696</v>
      </c>
    </row>
    <row r="68" spans="1:8" x14ac:dyDescent="0.15">
      <c r="A68" s="161"/>
      <c r="B68" s="161" t="s">
        <v>327</v>
      </c>
      <c r="C68" s="162">
        <f ca="1">C31/C$61</f>
        <v>0.16894174888498448</v>
      </c>
      <c r="D68" s="162">
        <f ca="1">D31/D$61</f>
        <v>0.15900399895057366</v>
      </c>
      <c r="E68" s="207">
        <f t="shared" ca="1" si="4"/>
        <v>9.9377499344108222E-3</v>
      </c>
      <c r="F68" s="208">
        <f>F31</f>
        <v>0.30733944954128439</v>
      </c>
      <c r="G68" s="209">
        <f>E31</f>
        <v>67</v>
      </c>
    </row>
    <row r="69" spans="1:8" ht="11.25" thickBot="1" x14ac:dyDescent="0.2">
      <c r="A69" s="287" t="s">
        <v>328</v>
      </c>
      <c r="B69" s="288"/>
      <c r="C69" s="162">
        <f ca="1">(Hypothèses!B48+Hypothèses!B49)/'Calculs €'!C$61</f>
        <v>2.1874999999999999E-2</v>
      </c>
      <c r="D69" s="162">
        <f ca="1">(Hypothèses!C48+Hypothèses!C49)/'Calculs €'!D$61</f>
        <v>3.9792387543252608E-2</v>
      </c>
      <c r="E69" s="162">
        <f t="shared" ca="1" si="4"/>
        <v>-1.7917387543252609E-2</v>
      </c>
      <c r="F69" s="210"/>
      <c r="G69" s="179">
        <f ca="1">(Hypothèses!B48+Hypothèses!B49)-(Hypothèses!C48+Hypothèses!C49)</f>
        <v>-17.654231617647071</v>
      </c>
    </row>
    <row r="70" spans="1:8" x14ac:dyDescent="0.15">
      <c r="B70" s="45"/>
      <c r="C70" s="205">
        <f ca="1">SUM(C63:C69)</f>
        <v>1.0000000000000002</v>
      </c>
      <c r="D70" s="205">
        <f ca="1">SUM(D63:D69)</f>
        <v>1.0001272906513601</v>
      </c>
    </row>
    <row r="71" spans="1:8" x14ac:dyDescent="0.15">
      <c r="B71" s="45"/>
      <c r="C71" s="203"/>
      <c r="D71" s="203"/>
    </row>
    <row r="72" spans="1:8" ht="11.25" thickBot="1" x14ac:dyDescent="0.2">
      <c r="A72" s="56"/>
      <c r="B72" s="45"/>
      <c r="C72" s="45"/>
    </row>
    <row r="73" spans="1:8" ht="42" x14ac:dyDescent="0.15">
      <c r="A73" s="211" t="s">
        <v>294</v>
      </c>
      <c r="B73" s="212"/>
      <c r="C73" s="213" t="s">
        <v>5</v>
      </c>
      <c r="D73" s="213" t="s">
        <v>6</v>
      </c>
      <c r="E73" s="214" t="s">
        <v>289</v>
      </c>
      <c r="F73" s="215" t="s">
        <v>298</v>
      </c>
      <c r="G73" s="216" t="s">
        <v>299</v>
      </c>
      <c r="H73" s="55" t="s">
        <v>329</v>
      </c>
    </row>
    <row r="74" spans="1:8" x14ac:dyDescent="0.15">
      <c r="A74" s="291" t="s">
        <v>27</v>
      </c>
      <c r="B74" s="291"/>
      <c r="C74" s="217">
        <f ca="1">$C$48+$C$55</f>
        <v>1686.9719999999998</v>
      </c>
      <c r="D74" s="217">
        <f ca="1">$D$48+$D$55</f>
        <v>1371.0346999999997</v>
      </c>
      <c r="E74" s="218"/>
      <c r="F74" s="219">
        <f ca="1">(C74/D74)-1</f>
        <v>0.23043712898003244</v>
      </c>
      <c r="G74" s="220">
        <f ca="1">C74-D74</f>
        <v>315.93730000000005</v>
      </c>
    </row>
    <row r="75" spans="1:8" outlineLevel="1" x14ac:dyDescent="0.15">
      <c r="A75" s="292" t="s">
        <v>37</v>
      </c>
      <c r="B75" s="293"/>
      <c r="C75" s="221"/>
      <c r="D75" s="221"/>
      <c r="E75" s="218"/>
      <c r="F75" s="222"/>
      <c r="G75" s="223"/>
    </row>
    <row r="76" spans="1:8" outlineLevel="1" x14ac:dyDescent="0.15">
      <c r="A76" s="289" t="s">
        <v>28</v>
      </c>
      <c r="B76" s="290"/>
      <c r="C76" s="224">
        <f ca="1">C26/$C$74</f>
        <v>0.10666666666666666</v>
      </c>
      <c r="D76" s="224">
        <f ca="1">D26/$D$74</f>
        <v>8.0000000000000016E-2</v>
      </c>
      <c r="E76" s="218">
        <f t="shared" ref="E76:E82" ca="1" si="5">C76-D76</f>
        <v>2.6666666666666644E-2</v>
      </c>
      <c r="F76" s="225">
        <f ca="1">F26</f>
        <v>0.64058283864004306</v>
      </c>
      <c r="G76" s="226">
        <f ca="1">E26</f>
        <v>70.260903999999982</v>
      </c>
    </row>
    <row r="77" spans="1:8" outlineLevel="1" x14ac:dyDescent="0.15">
      <c r="A77" s="289" t="s">
        <v>31</v>
      </c>
      <c r="B77" s="290"/>
      <c r="C77" s="224">
        <f ca="1">C33/$C$74</f>
        <v>0.23772491778168228</v>
      </c>
      <c r="D77" s="224">
        <f ca="1">D33/$D$74</f>
        <v>0.28099600104942635</v>
      </c>
      <c r="E77" s="218">
        <f t="shared" ca="1" si="5"/>
        <v>-4.3271083267744065E-2</v>
      </c>
      <c r="F77" s="225">
        <f ca="1">F33</f>
        <v>4.0959886368121444E-2</v>
      </c>
      <c r="G77" s="226">
        <f ca="1">E33</f>
        <v>15.78001200000017</v>
      </c>
    </row>
    <row r="78" spans="1:8" outlineLevel="1" x14ac:dyDescent="0.15">
      <c r="A78" s="289" t="s">
        <v>29</v>
      </c>
      <c r="B78" s="290"/>
      <c r="C78" s="224">
        <f ca="1">C39/$C$74</f>
        <v>5.8333333333333341E-2</v>
      </c>
      <c r="D78" s="224">
        <f ca="1">D39/$D$74</f>
        <v>7.0000000000000007E-2</v>
      </c>
      <c r="E78" s="218">
        <f t="shared" ca="1" si="5"/>
        <v>-1.1666666666666665E-2</v>
      </c>
      <c r="F78" s="225">
        <f ca="1">F39</f>
        <v>2.5364274150027087E-2</v>
      </c>
      <c r="G78" s="226">
        <f ca="1">E39</f>
        <v>2.4342710000000096</v>
      </c>
    </row>
    <row r="79" spans="1:8" outlineLevel="1" x14ac:dyDescent="0.15">
      <c r="A79" s="289" t="s">
        <v>30</v>
      </c>
      <c r="B79" s="290"/>
      <c r="C79" s="224">
        <f ca="1">C44/C$74</f>
        <v>3.5750000000000004E-2</v>
      </c>
      <c r="D79" s="224">
        <f ca="1">D44/D$74</f>
        <v>5.6774349474889303E-2</v>
      </c>
      <c r="E79" s="218">
        <f t="shared" ca="1" si="5"/>
        <v>-2.1024349474889299E-2</v>
      </c>
      <c r="F79" s="225">
        <f ca="1">F44</f>
        <v>-0.22521124825055641</v>
      </c>
      <c r="G79" s="226">
        <f ca="1">E44</f>
        <v>-17.530354200000005</v>
      </c>
    </row>
    <row r="80" spans="1:8" outlineLevel="1" x14ac:dyDescent="0.15">
      <c r="A80" s="289" t="s">
        <v>32</v>
      </c>
      <c r="B80" s="290"/>
      <c r="C80" s="227">
        <f ca="1">C52/$C$74</f>
        <v>0.35645833333333332</v>
      </c>
      <c r="D80" s="227">
        <f ca="1">D52/$D$74</f>
        <v>0.31020761245674744</v>
      </c>
      <c r="E80" s="228">
        <f t="shared" ca="1" si="5"/>
        <v>4.6250720876585882E-2</v>
      </c>
      <c r="F80" s="229">
        <f ca="1">F52</f>
        <v>0.41389040969724239</v>
      </c>
      <c r="G80" s="230">
        <f ca="1">E52</f>
        <v>176.02982661764696</v>
      </c>
    </row>
    <row r="81" spans="1:7" x14ac:dyDescent="0.15">
      <c r="A81" s="231"/>
      <c r="B81" s="231" t="s">
        <v>327</v>
      </c>
      <c r="C81" s="232">
        <f ca="1">C31/C$74</f>
        <v>0.16894174888498448</v>
      </c>
      <c r="D81" s="232">
        <f ca="1">D31/D$74</f>
        <v>0.15900399895057366</v>
      </c>
      <c r="E81" s="228">
        <f t="shared" ca="1" si="5"/>
        <v>9.9377499344108222E-3</v>
      </c>
      <c r="F81" s="233">
        <f>F31</f>
        <v>0.30733944954128439</v>
      </c>
      <c r="G81" s="234">
        <f>E31</f>
        <v>67</v>
      </c>
    </row>
    <row r="82" spans="1:7" x14ac:dyDescent="0.15">
      <c r="A82" s="289" t="s">
        <v>328</v>
      </c>
      <c r="B82" s="290"/>
      <c r="C82" s="232">
        <f ca="1">(Hypothèses!B48+Hypothèses!B49)/C$74</f>
        <v>2.1874999999999999E-2</v>
      </c>
      <c r="D82" s="232">
        <f ca="1">(Hypothèses!C48+Hypothèses!C49)/D$74</f>
        <v>3.9792387543252608E-2</v>
      </c>
      <c r="E82" s="232">
        <f t="shared" ca="1" si="5"/>
        <v>-1.7917387543252609E-2</v>
      </c>
      <c r="F82" s="235"/>
      <c r="G82" s="234">
        <f ca="1">(Hypothèses!B48+Hypothèses!B49)-(Hypothèses!C48+Hypothèses!C49)</f>
        <v>-17.654231617647071</v>
      </c>
    </row>
  </sheetData>
  <mergeCells count="16">
    <mergeCell ref="A82:B82"/>
    <mergeCell ref="A69:B69"/>
    <mergeCell ref="A77:B77"/>
    <mergeCell ref="A80:B80"/>
    <mergeCell ref="A74:B74"/>
    <mergeCell ref="A75:B75"/>
    <mergeCell ref="A76:B76"/>
    <mergeCell ref="A78:B78"/>
    <mergeCell ref="A79:B79"/>
    <mergeCell ref="A67:B67"/>
    <mergeCell ref="A61:B61"/>
    <mergeCell ref="A62:B62"/>
    <mergeCell ref="A63:B63"/>
    <mergeCell ref="A65:B65"/>
    <mergeCell ref="A66:B66"/>
    <mergeCell ref="A64:B64"/>
  </mergeCells>
  <phoneticPr fontId="3" type="noConversion"/>
  <conditionalFormatting sqref="F24:F27">
    <cfRule type="cellIs" dxfId="11" priority="32" operator="lessThan">
      <formula>0</formula>
    </cfRule>
    <cfRule type="cellIs" dxfId="10" priority="41" operator="greaterThan">
      <formula>0</formula>
    </cfRule>
  </conditionalFormatting>
  <conditionalFormatting sqref="F30:F34 F76:F80">
    <cfRule type="cellIs" dxfId="9" priority="29" operator="lessThan">
      <formula>0</formula>
    </cfRule>
  </conditionalFormatting>
  <conditionalFormatting sqref="F30:F34">
    <cfRule type="cellIs" dxfId="8" priority="31" operator="greaterThan">
      <formula>0</formula>
    </cfRule>
  </conditionalFormatting>
  <conditionalFormatting sqref="F37:F4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3:F45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F48:F54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63:G69">
    <cfRule type="cellIs" dxfId="1" priority="3" operator="lessThan">
      <formula>0</formula>
    </cfRule>
  </conditionalFormatting>
  <conditionalFormatting sqref="G76:G82">
    <cfRule type="cellIs" dxfId="0" priority="1" operator="less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73F7-E975-4CCB-BCCD-48FB57250170}">
  <dimension ref="B2:J42"/>
  <sheetViews>
    <sheetView showGridLines="0" topLeftCell="B19" zoomScaleNormal="100" workbookViewId="0">
      <selection activeCell="D32" sqref="D32"/>
    </sheetView>
  </sheetViews>
  <sheetFormatPr baseColWidth="10" defaultColWidth="10.85546875" defaultRowHeight="15" outlineLevelRow="1" x14ac:dyDescent="0.25"/>
  <cols>
    <col min="1" max="1" width="2.7109375" style="110" customWidth="1"/>
    <col min="2" max="2" width="64.85546875" style="110" bestFit="1" customWidth="1"/>
    <col min="3" max="3" width="17.7109375" style="110" customWidth="1"/>
    <col min="4" max="4" width="19.42578125" style="110" customWidth="1"/>
    <col min="5" max="5" width="3" style="110" customWidth="1"/>
    <col min="6" max="7" width="10.7109375" style="110" customWidth="1"/>
    <col min="8" max="8" width="3.28515625" style="110" customWidth="1"/>
    <col min="9" max="9" width="19" style="110" customWidth="1"/>
    <col min="10" max="16384" width="10.85546875" style="110"/>
  </cols>
  <sheetData>
    <row r="2" spans="2:10" ht="15.75" thickBot="1" x14ac:dyDescent="0.3">
      <c r="B2" s="109" t="s">
        <v>96</v>
      </c>
    </row>
    <row r="3" spans="2:10" ht="16.5" outlineLevel="1" thickTop="1" thickBot="1" x14ac:dyDescent="0.3"/>
    <row r="4" spans="2:10" ht="15.75" outlineLevel="1" thickBot="1" x14ac:dyDescent="0.3">
      <c r="B4" s="110" t="s">
        <v>255</v>
      </c>
      <c r="C4" s="153">
        <f ca="1">C7*C6</f>
        <v>1405.81</v>
      </c>
    </row>
    <row r="5" spans="2:10" ht="15.75" outlineLevel="1" thickBot="1" x14ac:dyDescent="0.3">
      <c r="B5" s="110" t="s">
        <v>256</v>
      </c>
      <c r="C5" s="111">
        <f>Hypothèses!B9</f>
        <v>0.15</v>
      </c>
      <c r="D5" s="112"/>
    </row>
    <row r="6" spans="2:10" ht="15.75" outlineLevel="1" thickBot="1" x14ac:dyDescent="0.3">
      <c r="B6" s="110" t="s">
        <v>257</v>
      </c>
      <c r="C6" s="113">
        <f ca="1">Hypothèses!B14</f>
        <v>14.797999999999998</v>
      </c>
      <c r="D6" s="112"/>
    </row>
    <row r="7" spans="2:10" ht="15.75" outlineLevel="1" thickBot="1" x14ac:dyDescent="0.3">
      <c r="B7" s="110" t="s">
        <v>258</v>
      </c>
      <c r="C7" s="154">
        <f>Hypothèses!B17</f>
        <v>95</v>
      </c>
    </row>
    <row r="8" spans="2:10" ht="15.75" outlineLevel="1" thickBot="1" x14ac:dyDescent="0.3">
      <c r="B8" s="110" t="s">
        <v>259</v>
      </c>
      <c r="C8" s="114">
        <f>C5*C7</f>
        <v>14.25</v>
      </c>
      <c r="F8" s="115"/>
    </row>
    <row r="9" spans="2:10" ht="15.75" outlineLevel="1" thickBot="1" x14ac:dyDescent="0.3">
      <c r="B9" s="110" t="s">
        <v>260</v>
      </c>
      <c r="C9" s="116">
        <v>0</v>
      </c>
      <c r="E9" s="115"/>
      <c r="F9" s="115"/>
      <c r="G9" s="115"/>
      <c r="H9" s="115"/>
      <c r="I9" s="115"/>
      <c r="J9" s="115"/>
    </row>
    <row r="10" spans="2:10" ht="15.75" outlineLevel="1" thickBot="1" x14ac:dyDescent="0.3">
      <c r="B10" s="110" t="s">
        <v>261</v>
      </c>
      <c r="C10" s="117">
        <f>1-C9</f>
        <v>1</v>
      </c>
      <c r="E10" s="115"/>
      <c r="J10" s="115"/>
    </row>
    <row r="11" spans="2:10" outlineLevel="1" x14ac:dyDescent="0.25">
      <c r="B11" s="110" t="s">
        <v>262</v>
      </c>
      <c r="C11" s="116">
        <v>0</v>
      </c>
      <c r="E11" s="115"/>
    </row>
    <row r="12" spans="2:10" outlineLevel="1" x14ac:dyDescent="0.25"/>
    <row r="13" spans="2:10" outlineLevel="1" x14ac:dyDescent="0.25"/>
    <row r="15" spans="2:10" ht="15.75" thickBot="1" x14ac:dyDescent="0.3">
      <c r="B15" s="109" t="s">
        <v>263</v>
      </c>
    </row>
    <row r="16" spans="2:10" ht="15.75" thickTop="1" x14ac:dyDescent="0.25"/>
    <row r="17" spans="2:9" outlineLevel="1" x14ac:dyDescent="0.25">
      <c r="B17" s="118"/>
      <c r="C17" s="110" t="s">
        <v>285</v>
      </c>
      <c r="D17" s="110" t="s">
        <v>286</v>
      </c>
    </row>
    <row r="18" spans="2:9" outlineLevel="1" x14ac:dyDescent="0.25">
      <c r="B18" s="110" t="s">
        <v>264</v>
      </c>
      <c r="C18" s="119">
        <v>0</v>
      </c>
      <c r="D18" s="119"/>
      <c r="E18" s="120"/>
      <c r="I18" s="120"/>
    </row>
    <row r="19" spans="2:9" outlineLevel="1" x14ac:dyDescent="0.25">
      <c r="B19" s="110" t="s">
        <v>265</v>
      </c>
      <c r="C19" s="119">
        <v>0</v>
      </c>
      <c r="D19" s="121"/>
      <c r="E19" s="120"/>
      <c r="I19" s="120"/>
    </row>
    <row r="20" spans="2:9" x14ac:dyDescent="0.25">
      <c r="I20" s="122"/>
    </row>
    <row r="21" spans="2:9" x14ac:dyDescent="0.25">
      <c r="I21" s="122"/>
    </row>
    <row r="22" spans="2:9" ht="15.75" thickBot="1" x14ac:dyDescent="0.3">
      <c r="B22" s="109" t="s">
        <v>266</v>
      </c>
      <c r="I22" s="122"/>
    </row>
    <row r="23" spans="2:9" ht="15.75" thickTop="1" x14ac:dyDescent="0.25">
      <c r="I23" s="122"/>
    </row>
    <row r="24" spans="2:9" x14ac:dyDescent="0.25">
      <c r="I24" s="122"/>
    </row>
    <row r="25" spans="2:9" ht="26.25" x14ac:dyDescent="0.25">
      <c r="B25" s="123" t="s">
        <v>267</v>
      </c>
      <c r="C25" s="123" t="s">
        <v>281</v>
      </c>
      <c r="D25" s="123" t="s">
        <v>282</v>
      </c>
      <c r="E25" s="124"/>
      <c r="F25" s="125" t="s">
        <v>283</v>
      </c>
      <c r="G25" s="125" t="s">
        <v>284</v>
      </c>
      <c r="I25" s="122"/>
    </row>
    <row r="26" spans="2:9" x14ac:dyDescent="0.25">
      <c r="B26" s="126" t="s">
        <v>255</v>
      </c>
      <c r="C26" s="155">
        <f ca="1">$C$4</f>
        <v>1405.81</v>
      </c>
      <c r="D26" s="155">
        <f ca="1">$C$4</f>
        <v>1405.81</v>
      </c>
      <c r="E26" s="124"/>
      <c r="F26" s="192">
        <f ca="1">D26-C26</f>
        <v>0</v>
      </c>
      <c r="G26" s="127">
        <f ca="1">F26/C26</f>
        <v>0</v>
      </c>
      <c r="I26" s="122"/>
    </row>
    <row r="27" spans="2:9" x14ac:dyDescent="0.25">
      <c r="B27" s="128" t="s">
        <v>268</v>
      </c>
      <c r="C27" s="156">
        <f ca="1">$C$5*C26</f>
        <v>210.8715</v>
      </c>
      <c r="D27" s="156">
        <f ca="1">$C$5*D26</f>
        <v>210.8715</v>
      </c>
      <c r="E27" s="124"/>
      <c r="F27" s="155">
        <f ca="1">D27-C27</f>
        <v>0</v>
      </c>
      <c r="G27" s="129">
        <f ca="1">F27/C27</f>
        <v>0</v>
      </c>
      <c r="I27" s="122"/>
    </row>
    <row r="28" spans="2:9" x14ac:dyDescent="0.25">
      <c r="B28" s="130" t="s">
        <v>269</v>
      </c>
      <c r="C28" s="131">
        <f ca="1">C27/C26</f>
        <v>0.15</v>
      </c>
      <c r="D28" s="131">
        <f ca="1">D27/D26</f>
        <v>0.15</v>
      </c>
      <c r="E28" s="124"/>
      <c r="F28" s="155">
        <f ca="1">D28-C28</f>
        <v>0</v>
      </c>
      <c r="G28" s="129">
        <f ca="1">F28/C28</f>
        <v>0</v>
      </c>
      <c r="I28" s="122"/>
    </row>
    <row r="29" spans="2:9" x14ac:dyDescent="0.25">
      <c r="B29" s="132" t="s">
        <v>270</v>
      </c>
      <c r="C29" s="156">
        <f ca="1">C26-C27</f>
        <v>1194.9385</v>
      </c>
      <c r="D29" s="156">
        <f ca="1">D26-D27</f>
        <v>1194.9385</v>
      </c>
      <c r="E29" s="124"/>
      <c r="F29" s="193">
        <f ca="1">D29-C29</f>
        <v>0</v>
      </c>
      <c r="G29" s="133">
        <f ca="1">F29/C29</f>
        <v>0</v>
      </c>
      <c r="I29" s="120"/>
    </row>
    <row r="30" spans="2:9" x14ac:dyDescent="0.25">
      <c r="B30" s="134"/>
      <c r="C30" s="135"/>
      <c r="D30" s="134"/>
      <c r="E30" s="124"/>
      <c r="F30" s="124"/>
      <c r="G30" s="124"/>
      <c r="I30" s="122"/>
    </row>
    <row r="31" spans="2:9" x14ac:dyDescent="0.25">
      <c r="B31" s="128" t="s">
        <v>271</v>
      </c>
      <c r="C31" s="136">
        <v>0.06</v>
      </c>
      <c r="D31" s="167">
        <f ca="1">D36/D29</f>
        <v>5.6647058823529411E-2</v>
      </c>
      <c r="E31" s="124"/>
      <c r="F31" s="137">
        <f ca="1">D31-C31</f>
        <v>-3.3529411764705863E-3</v>
      </c>
      <c r="G31" s="138">
        <f ca="1">F31/C31</f>
        <v>-5.5882352941176439E-2</v>
      </c>
    </row>
    <row r="32" spans="2:9" x14ac:dyDescent="0.25">
      <c r="B32" s="128" t="s">
        <v>272</v>
      </c>
      <c r="C32" s="139">
        <v>0</v>
      </c>
      <c r="D32" s="140">
        <v>4.2900000000000001E-2</v>
      </c>
      <c r="E32" s="124"/>
      <c r="F32" s="141"/>
      <c r="G32" s="142"/>
    </row>
    <row r="33" spans="2:7" x14ac:dyDescent="0.25">
      <c r="B33" s="132" t="s">
        <v>273</v>
      </c>
      <c r="C33" s="143">
        <v>0</v>
      </c>
      <c r="D33" s="144">
        <v>3.5000000000000003E-2</v>
      </c>
      <c r="E33" s="124"/>
      <c r="F33" s="145"/>
      <c r="G33" s="146"/>
    </row>
    <row r="34" spans="2:7" x14ac:dyDescent="0.25">
      <c r="B34" s="134"/>
      <c r="C34" s="134"/>
      <c r="D34" s="134"/>
      <c r="E34" s="124"/>
      <c r="F34" s="124"/>
      <c r="G34" s="124"/>
    </row>
    <row r="35" spans="2:7" x14ac:dyDescent="0.25">
      <c r="B35" s="147" t="s">
        <v>320</v>
      </c>
      <c r="C35" s="123" t="s">
        <v>281</v>
      </c>
      <c r="D35" s="123" t="s">
        <v>282</v>
      </c>
      <c r="E35" s="124"/>
      <c r="F35" s="294" t="s">
        <v>319</v>
      </c>
      <c r="G35" s="295"/>
    </row>
    <row r="36" spans="2:7" x14ac:dyDescent="0.25">
      <c r="B36" s="148" t="s">
        <v>274</v>
      </c>
      <c r="C36" s="157">
        <f ca="1">SUM(C37:C42)</f>
        <v>71.696309999999997</v>
      </c>
      <c r="D36" s="157">
        <f ca="1">SUM(D37:D42)</f>
        <v>67.6897515</v>
      </c>
      <c r="E36" s="124"/>
      <c r="F36" s="190">
        <f ca="1">D36-C36</f>
        <v>-4.006558499999997</v>
      </c>
      <c r="G36" s="191">
        <f ca="1">F36/C36</f>
        <v>-5.5882352941176432E-2</v>
      </c>
    </row>
    <row r="37" spans="2:7" x14ac:dyDescent="0.25">
      <c r="B37" s="149" t="s">
        <v>275</v>
      </c>
      <c r="C37" s="158">
        <f ca="1">C32*C26</f>
        <v>0</v>
      </c>
      <c r="D37" s="158">
        <f ca="1">D32*D26</f>
        <v>60.309249000000001</v>
      </c>
      <c r="E37" s="124"/>
      <c r="F37" s="141"/>
      <c r="G37" s="142"/>
    </row>
    <row r="38" spans="2:7" x14ac:dyDescent="0.25">
      <c r="B38" s="150" t="s">
        <v>276</v>
      </c>
      <c r="C38" s="159">
        <f ca="1">C33*C27</f>
        <v>0</v>
      </c>
      <c r="D38" s="159">
        <f ca="1">D33*D27</f>
        <v>7.3805025000000004</v>
      </c>
      <c r="E38" s="124"/>
      <c r="F38" s="141"/>
      <c r="G38" s="142"/>
    </row>
    <row r="39" spans="2:7" x14ac:dyDescent="0.25">
      <c r="B39" s="150" t="s">
        <v>277</v>
      </c>
      <c r="C39" s="159">
        <f ca="1">C31*C29</f>
        <v>71.696309999999997</v>
      </c>
      <c r="D39" s="159">
        <v>0</v>
      </c>
      <c r="E39" s="124"/>
      <c r="F39" s="141"/>
      <c r="G39" s="142"/>
    </row>
    <row r="40" spans="2:7" x14ac:dyDescent="0.25">
      <c r="B40" s="150" t="s">
        <v>278</v>
      </c>
      <c r="C40" s="159">
        <f>C18*(1-C11)*C9*C8</f>
        <v>0</v>
      </c>
      <c r="D40" s="159">
        <f>D18*(1-C11)*C9*C8</f>
        <v>0</v>
      </c>
      <c r="E40" s="124"/>
      <c r="F40" s="141"/>
      <c r="G40" s="142"/>
    </row>
    <row r="41" spans="2:7" x14ac:dyDescent="0.25">
      <c r="B41" s="150" t="s">
        <v>279</v>
      </c>
      <c r="C41" s="159">
        <f>C11*C9*C8*C19</f>
        <v>0</v>
      </c>
      <c r="D41" s="159">
        <f>C11*C9*C8*D19</f>
        <v>0</v>
      </c>
      <c r="E41" s="124"/>
      <c r="F41" s="141"/>
      <c r="G41" s="142"/>
    </row>
    <row r="42" spans="2:7" x14ac:dyDescent="0.25">
      <c r="B42" s="151" t="s">
        <v>280</v>
      </c>
      <c r="C42" s="160">
        <v>0</v>
      </c>
      <c r="D42" s="160">
        <v>0</v>
      </c>
      <c r="E42" s="124"/>
      <c r="F42" s="152"/>
      <c r="G42" s="146"/>
    </row>
  </sheetData>
  <mergeCells count="1">
    <mergeCell ref="F35:G3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&amp;L&amp;Z&amp;F</oddFooter>
  </headerFooter>
  <colBreaks count="1" manualBreakCount="1">
    <brk id="10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E031-0404-42D9-98D5-7FC43C2998FB}">
  <dimension ref="A1:I137"/>
  <sheetViews>
    <sheetView workbookViewId="0">
      <selection activeCell="D5" sqref="D5"/>
    </sheetView>
  </sheetViews>
  <sheetFormatPr baseColWidth="10" defaultRowHeight="12.75" x14ac:dyDescent="0.2"/>
  <cols>
    <col min="1" max="1" width="44.28515625" bestFit="1" customWidth="1"/>
    <col min="2" max="4" width="34.5703125" style="5" customWidth="1"/>
    <col min="6" max="6" width="31.42578125" customWidth="1"/>
  </cols>
  <sheetData>
    <row r="1" spans="1:5" x14ac:dyDescent="0.2">
      <c r="B1" s="4" t="s">
        <v>47</v>
      </c>
      <c r="C1" s="4" t="s">
        <v>48</v>
      </c>
      <c r="D1" s="4" t="s">
        <v>49</v>
      </c>
    </row>
    <row r="2" spans="1:5" ht="51" x14ac:dyDescent="0.2">
      <c r="A2" s="11" t="s">
        <v>96</v>
      </c>
      <c r="B2" s="17" t="s">
        <v>312</v>
      </c>
      <c r="C2" s="17" t="s">
        <v>310</v>
      </c>
      <c r="D2" s="17" t="s">
        <v>311</v>
      </c>
    </row>
    <row r="3" spans="1:5" x14ac:dyDescent="0.2">
      <c r="A3" t="s">
        <v>50</v>
      </c>
      <c r="B3" s="184">
        <f>Hypothèses!B17</f>
        <v>95</v>
      </c>
      <c r="C3" s="184">
        <f>B3</f>
        <v>95</v>
      </c>
      <c r="D3" s="184">
        <f>B3</f>
        <v>95</v>
      </c>
      <c r="E3" t="s">
        <v>51</v>
      </c>
    </row>
    <row r="4" spans="1:5" x14ac:dyDescent="0.2">
      <c r="A4" t="s">
        <v>52</v>
      </c>
      <c r="B4" s="184">
        <f ca="1">Hypothèses!B15</f>
        <v>355.8</v>
      </c>
      <c r="C4" s="184">
        <f ca="1">Hypothèses!B15</f>
        <v>355.8</v>
      </c>
      <c r="D4" s="184">
        <f ca="1">Hypothèses!B15</f>
        <v>355.8</v>
      </c>
      <c r="E4" t="s">
        <v>53</v>
      </c>
    </row>
    <row r="5" spans="1:5" x14ac:dyDescent="0.2">
      <c r="A5" t="s">
        <v>7</v>
      </c>
      <c r="B5" s="185">
        <f>Hypothèses!B9</f>
        <v>0.15</v>
      </c>
      <c r="C5" s="185">
        <v>0</v>
      </c>
      <c r="D5" s="186">
        <f>Hypothèses!B9</f>
        <v>0.15</v>
      </c>
      <c r="E5" t="s">
        <v>54</v>
      </c>
    </row>
    <row r="6" spans="1:5" x14ac:dyDescent="0.2">
      <c r="A6" s="18" t="s">
        <v>316</v>
      </c>
      <c r="B6" s="187">
        <v>400</v>
      </c>
      <c r="C6" s="187">
        <f>B6</f>
        <v>400</v>
      </c>
      <c r="D6" s="187">
        <f>B6</f>
        <v>400</v>
      </c>
      <c r="E6" s="18" t="s">
        <v>315</v>
      </c>
    </row>
    <row r="7" spans="1:5" x14ac:dyDescent="0.2">
      <c r="A7" t="s">
        <v>55</v>
      </c>
      <c r="B7" s="184">
        <f ca="1">B3*B4*B6/1000000</f>
        <v>13.5204</v>
      </c>
      <c r="C7" s="184">
        <f ca="1">C3*C4*C6/1000000</f>
        <v>13.5204</v>
      </c>
      <c r="D7" s="184">
        <f ca="1">D3*D4*D6/1000000</f>
        <v>13.5204</v>
      </c>
      <c r="E7" t="s">
        <v>56</v>
      </c>
    </row>
    <row r="8" spans="1:5" x14ac:dyDescent="0.2">
      <c r="A8" t="s">
        <v>57</v>
      </c>
      <c r="B8" s="184">
        <f ca="1">B7*B5</f>
        <v>2.02806</v>
      </c>
      <c r="C8" s="184">
        <f ca="1">C7*C5</f>
        <v>0</v>
      </c>
      <c r="D8" s="184">
        <f ca="1">D7*D5</f>
        <v>2.02806</v>
      </c>
      <c r="E8" t="s">
        <v>56</v>
      </c>
    </row>
    <row r="9" spans="1:5" x14ac:dyDescent="0.2">
      <c r="A9" s="18" t="s">
        <v>317</v>
      </c>
      <c r="B9" s="184">
        <f>Hypothèses!B7</f>
        <v>8</v>
      </c>
      <c r="C9" s="184">
        <f>Hypothèses!B7</f>
        <v>8</v>
      </c>
      <c r="D9" s="184">
        <f>Hypothèses!B7</f>
        <v>8</v>
      </c>
      <c r="E9" s="18" t="s">
        <v>315</v>
      </c>
    </row>
    <row r="10" spans="1:5" x14ac:dyDescent="0.2">
      <c r="A10" s="1" t="s">
        <v>102</v>
      </c>
      <c r="B10" s="185">
        <f>Hypothèses!B8</f>
        <v>0.7</v>
      </c>
      <c r="C10" s="185">
        <f>Hypothèses!B8</f>
        <v>0.7</v>
      </c>
      <c r="D10" s="185">
        <f>Hypothèses!B8</f>
        <v>0.7</v>
      </c>
      <c r="E10" s="1" t="s">
        <v>54</v>
      </c>
    </row>
    <row r="11" spans="1:5" x14ac:dyDescent="0.2">
      <c r="A11" t="s">
        <v>58</v>
      </c>
      <c r="B11" s="188">
        <f ca="1">Hypothèses!B14</f>
        <v>14.797999999999998</v>
      </c>
      <c r="C11" s="188">
        <f ca="1">Hypothèses!B14</f>
        <v>14.797999999999998</v>
      </c>
      <c r="D11" s="188">
        <f ca="1">Hypothèses!B14</f>
        <v>14.797999999999998</v>
      </c>
      <c r="E11" s="18" t="s">
        <v>314</v>
      </c>
    </row>
    <row r="12" spans="1:5" x14ac:dyDescent="0.2">
      <c r="A12" t="s">
        <v>59</v>
      </c>
      <c r="B12" s="183"/>
      <c r="C12" s="183">
        <f ca="1">Hypothèses!B25</f>
        <v>28.116199999999996</v>
      </c>
      <c r="D12" s="183"/>
      <c r="E12" s="18" t="s">
        <v>314</v>
      </c>
    </row>
    <row r="13" spans="1:5" x14ac:dyDescent="0.2">
      <c r="A13" t="s">
        <v>60</v>
      </c>
      <c r="B13" s="183"/>
      <c r="C13" s="183">
        <f>Hypothèses!B26</f>
        <v>60</v>
      </c>
      <c r="D13" s="183"/>
    </row>
    <row r="14" spans="1:5" x14ac:dyDescent="0.2">
      <c r="A14" t="s">
        <v>61</v>
      </c>
      <c r="B14" s="183"/>
      <c r="C14" s="183">
        <f>Hypothèses!B31</f>
        <v>5</v>
      </c>
      <c r="D14" s="183"/>
    </row>
    <row r="15" spans="1:5" x14ac:dyDescent="0.2">
      <c r="A15" s="18" t="s">
        <v>318</v>
      </c>
      <c r="B15" s="183">
        <f>B3*(1-B5)</f>
        <v>80.75</v>
      </c>
      <c r="C15" s="183">
        <f>C13*C14</f>
        <v>300</v>
      </c>
      <c r="D15" s="183">
        <f>B15</f>
        <v>80.75</v>
      </c>
      <c r="E15" t="s">
        <v>62</v>
      </c>
    </row>
    <row r="16" spans="1:5" x14ac:dyDescent="0.2">
      <c r="A16" t="s">
        <v>63</v>
      </c>
      <c r="B16" s="183">
        <f>Hypothèses!B32</f>
        <v>1</v>
      </c>
      <c r="C16" s="183">
        <f>Hypothèses!B32</f>
        <v>1</v>
      </c>
      <c r="D16" s="189">
        <v>2</v>
      </c>
    </row>
    <row r="17" spans="1:6" x14ac:dyDescent="0.2">
      <c r="A17" t="s">
        <v>64</v>
      </c>
      <c r="B17" s="183">
        <f>B15*B16</f>
        <v>80.75</v>
      </c>
      <c r="C17" s="183">
        <f>C13*C14*C16</f>
        <v>300</v>
      </c>
      <c r="D17" s="183">
        <f>D15*D16</f>
        <v>161.5</v>
      </c>
    </row>
    <row r="18" spans="1:6" x14ac:dyDescent="0.2">
      <c r="A18" t="s">
        <v>65</v>
      </c>
      <c r="B18" s="184">
        <f ca="1">B3*(1-B5)*B11</f>
        <v>1194.9384999999997</v>
      </c>
      <c r="C18" s="184">
        <f ca="1">C12*C13</f>
        <v>1686.9719999999998</v>
      </c>
      <c r="D18" s="184">
        <f ca="1">D3*(1-D5)*D11</f>
        <v>1194.9384999999997</v>
      </c>
    </row>
    <row r="21" spans="1:6" x14ac:dyDescent="0.2">
      <c r="A21" s="2" t="s">
        <v>66</v>
      </c>
    </row>
    <row r="22" spans="1:6" x14ac:dyDescent="0.2">
      <c r="A22" t="s">
        <v>67</v>
      </c>
      <c r="B22" s="297">
        <v>0.378</v>
      </c>
      <c r="C22" s="297"/>
      <c r="D22" s="297"/>
      <c r="E22" t="s">
        <v>68</v>
      </c>
      <c r="F22" t="s">
        <v>69</v>
      </c>
    </row>
    <row r="23" spans="1:6" x14ac:dyDescent="0.2">
      <c r="A23" t="s">
        <v>70</v>
      </c>
      <c r="B23" s="297">
        <v>0.23100000000000001</v>
      </c>
      <c r="C23" s="297"/>
      <c r="D23" s="297"/>
      <c r="E23" t="s">
        <v>71</v>
      </c>
      <c r="F23" t="s">
        <v>72</v>
      </c>
    </row>
    <row r="24" spans="1:6" x14ac:dyDescent="0.2">
      <c r="A24" t="s">
        <v>73</v>
      </c>
      <c r="B24" s="297">
        <v>0.31900000000000001</v>
      </c>
      <c r="C24" s="297"/>
      <c r="D24" s="297"/>
      <c r="E24" t="s">
        <v>74</v>
      </c>
      <c r="F24" t="s">
        <v>75</v>
      </c>
    </row>
    <row r="25" spans="1:6" x14ac:dyDescent="0.2">
      <c r="A25" t="s">
        <v>76</v>
      </c>
      <c r="B25" s="298">
        <f ca="1">VLOOKUP(Hypothèses!B13,'Calculs CO2'!A110:E121,3,0)</f>
        <v>370</v>
      </c>
      <c r="C25" s="298"/>
      <c r="D25" s="298"/>
      <c r="E25" t="s">
        <v>77</v>
      </c>
      <c r="F25" s="18" t="s">
        <v>226</v>
      </c>
    </row>
    <row r="26" spans="1:6" x14ac:dyDescent="0.2">
      <c r="A26" t="s">
        <v>78</v>
      </c>
      <c r="C26" s="7">
        <v>0.54400000000000004</v>
      </c>
      <c r="E26" t="s">
        <v>79</v>
      </c>
      <c r="F26" s="5" t="s">
        <v>80</v>
      </c>
    </row>
    <row r="27" spans="1:6" x14ac:dyDescent="0.2">
      <c r="B27" s="7"/>
      <c r="C27" s="7"/>
      <c r="D27" s="7"/>
    </row>
    <row r="28" spans="1:6" x14ac:dyDescent="0.2">
      <c r="A28" s="2" t="s">
        <v>81</v>
      </c>
    </row>
    <row r="29" spans="1:6" x14ac:dyDescent="0.2">
      <c r="A29" t="s">
        <v>82</v>
      </c>
      <c r="B29" s="5">
        <f ca="1">B3*$B25/1000</f>
        <v>35.15</v>
      </c>
      <c r="C29" s="5">
        <f ca="1">C3*$B25/1000</f>
        <v>35.15</v>
      </c>
      <c r="D29" s="5">
        <f ca="1">D3*$B25/1000</f>
        <v>35.15</v>
      </c>
    </row>
    <row r="30" spans="1:6" x14ac:dyDescent="0.2">
      <c r="A30" t="s">
        <v>83</v>
      </c>
      <c r="B30" s="8">
        <f ca="1">(B7+B8)*$B22</f>
        <v>5.8773178800000005</v>
      </c>
      <c r="C30" s="8">
        <f t="shared" ref="C30:D30" ca="1" si="0">(C7+C8)*$B22</f>
        <v>5.1107111999999999</v>
      </c>
      <c r="D30" s="8">
        <f t="shared" ca="1" si="0"/>
        <v>5.8773178800000005</v>
      </c>
    </row>
    <row r="31" spans="1:6" x14ac:dyDescent="0.2">
      <c r="A31" t="s">
        <v>84</v>
      </c>
      <c r="B31" s="5">
        <v>0</v>
      </c>
      <c r="C31" s="5">
        <v>0</v>
      </c>
      <c r="D31" s="8">
        <f>D3*B24*(1-D5)</f>
        <v>25.759249999999998</v>
      </c>
    </row>
    <row r="32" spans="1:6" x14ac:dyDescent="0.2">
      <c r="A32" t="s">
        <v>85</v>
      </c>
      <c r="B32" s="8">
        <f>B15*$B23*$B9*B10/100</f>
        <v>1.0445819999999999</v>
      </c>
      <c r="C32" s="8">
        <f>C15*$B23*$B9*C10/100</f>
        <v>3.8807999999999998</v>
      </c>
      <c r="D32" s="8">
        <f>D15*$B23*$B9*D10/100</f>
        <v>1.0445819999999999</v>
      </c>
    </row>
    <row r="33" spans="1:9" x14ac:dyDescent="0.2">
      <c r="A33" t="s">
        <v>86</v>
      </c>
      <c r="B33" s="9">
        <f ca="1">B3*B5*B4/1000*C26</f>
        <v>2.7581616000000007</v>
      </c>
      <c r="D33" s="9">
        <f ca="1">B33</f>
        <v>2.7581616000000007</v>
      </c>
    </row>
    <row r="34" spans="1:9" x14ac:dyDescent="0.2">
      <c r="A34" t="s">
        <v>87</v>
      </c>
      <c r="B34" s="8">
        <f ca="1">SUM(B29:B33)</f>
        <v>44.830061479999998</v>
      </c>
      <c r="C34" s="8">
        <f t="shared" ref="C34" ca="1" si="1">SUM(C29:C33)</f>
        <v>44.141511199999997</v>
      </c>
      <c r="D34" s="8">
        <f ca="1">SUM(D29:D33)</f>
        <v>70.589311479999992</v>
      </c>
    </row>
    <row r="36" spans="1:9" x14ac:dyDescent="0.2">
      <c r="A36" s="2" t="s">
        <v>88</v>
      </c>
    </row>
    <row r="37" spans="1:9" x14ac:dyDescent="0.2">
      <c r="A37" s="12" t="s">
        <v>89</v>
      </c>
      <c r="B37" s="13">
        <f ca="1">B34/B17</f>
        <v>0.55517103999999995</v>
      </c>
      <c r="C37" s="13">
        <f t="shared" ref="C37" ca="1" si="2">C34/C17</f>
        <v>0.14713837066666666</v>
      </c>
      <c r="D37" s="13">
        <f ca="1">D34/D17</f>
        <v>0.43708551999999995</v>
      </c>
    </row>
    <row r="38" spans="1:9" x14ac:dyDescent="0.2">
      <c r="A38" t="s">
        <v>90</v>
      </c>
      <c r="B38" s="10">
        <f ca="1">B34/B18</f>
        <v>3.7516626571158271E-2</v>
      </c>
      <c r="C38" s="10">
        <f t="shared" ref="C38:D38" ca="1" si="3">C34/C18</f>
        <v>2.6166119651067122E-2</v>
      </c>
      <c r="D38" s="10">
        <f t="shared" ca="1" si="3"/>
        <v>5.9073593728882288E-2</v>
      </c>
    </row>
    <row r="39" spans="1:9" x14ac:dyDescent="0.2">
      <c r="A39" t="s">
        <v>91</v>
      </c>
      <c r="B39" s="8">
        <f ca="1">B18*1.055/B17</f>
        <v>15.611889999999995</v>
      </c>
      <c r="C39" s="8">
        <f ca="1">C18*1.055/C17</f>
        <v>5.9325181999999987</v>
      </c>
      <c r="D39" s="6" t="s">
        <v>92</v>
      </c>
    </row>
    <row r="43" spans="1:9" x14ac:dyDescent="0.2">
      <c r="A43" s="299" t="s">
        <v>224</v>
      </c>
      <c r="B43" s="299"/>
      <c r="C43" s="299"/>
      <c r="D43" s="299"/>
      <c r="E43" s="299"/>
      <c r="F43" s="299"/>
      <c r="G43" s="299"/>
      <c r="H43" s="299"/>
      <c r="I43" s="299"/>
    </row>
    <row r="44" spans="1:9" x14ac:dyDescent="0.2">
      <c r="A44" s="16" t="s">
        <v>107</v>
      </c>
      <c r="B44" s="31" t="s">
        <v>108</v>
      </c>
      <c r="C44" s="31" t="s">
        <v>227</v>
      </c>
      <c r="D44" s="31" t="s">
        <v>120</v>
      </c>
      <c r="E44" s="16" t="s">
        <v>109</v>
      </c>
      <c r="F44" s="31" t="s">
        <v>175</v>
      </c>
      <c r="G44" s="31" t="s">
        <v>183</v>
      </c>
      <c r="H44" s="31" t="s">
        <v>184</v>
      </c>
      <c r="I44" s="31" t="s">
        <v>109</v>
      </c>
    </row>
    <row r="45" spans="1:9" x14ac:dyDescent="0.2">
      <c r="A45" t="s">
        <v>111</v>
      </c>
      <c r="B45" s="5" t="s">
        <v>112</v>
      </c>
      <c r="C45" s="8">
        <v>178</v>
      </c>
      <c r="D45" s="8">
        <v>250</v>
      </c>
      <c r="E45" s="15">
        <v>8.6999999999999993</v>
      </c>
      <c r="F45" s="18" t="s">
        <v>176</v>
      </c>
      <c r="G45" s="8">
        <v>178</v>
      </c>
      <c r="H45" s="8">
        <v>250</v>
      </c>
      <c r="I45" s="15">
        <f>E45</f>
        <v>8.6999999999999993</v>
      </c>
    </row>
    <row r="46" spans="1:9" x14ac:dyDescent="0.2">
      <c r="A46" t="s">
        <v>118</v>
      </c>
      <c r="B46" s="5" t="s">
        <v>119</v>
      </c>
      <c r="C46" s="8">
        <v>430</v>
      </c>
      <c r="D46" s="8">
        <v>1530</v>
      </c>
      <c r="E46" s="15">
        <v>19.899999999999999</v>
      </c>
      <c r="F46" s="18" t="s">
        <v>178</v>
      </c>
      <c r="G46" s="8">
        <v>430</v>
      </c>
      <c r="H46" s="8">
        <v>1530</v>
      </c>
      <c r="I46" s="15">
        <f t="shared" ref="I46:I79" si="4">E46</f>
        <v>19.899999999999999</v>
      </c>
    </row>
    <row r="47" spans="1:9" x14ac:dyDescent="0.2">
      <c r="A47" t="s">
        <v>110</v>
      </c>
      <c r="B47" s="17" t="s">
        <v>136</v>
      </c>
      <c r="C47" s="8">
        <v>1540</v>
      </c>
      <c r="D47" s="8">
        <v>2700</v>
      </c>
      <c r="E47" s="14">
        <v>38</v>
      </c>
      <c r="F47" s="18" t="s">
        <v>177</v>
      </c>
      <c r="G47" s="8">
        <v>1540</v>
      </c>
      <c r="H47" s="8">
        <v>2700</v>
      </c>
      <c r="I47" s="15">
        <f t="shared" si="4"/>
        <v>38</v>
      </c>
    </row>
    <row r="48" spans="1:9" x14ac:dyDescent="0.2">
      <c r="A48" t="s">
        <v>113</v>
      </c>
      <c r="B48" s="5" t="s">
        <v>114</v>
      </c>
      <c r="C48" s="8">
        <v>1540</v>
      </c>
      <c r="D48" s="8">
        <v>3000</v>
      </c>
      <c r="E48" s="15">
        <v>22.95</v>
      </c>
      <c r="F48" s="18" t="s">
        <v>177</v>
      </c>
      <c r="G48" s="8">
        <v>1540</v>
      </c>
      <c r="H48" s="8">
        <v>3000</v>
      </c>
      <c r="I48" s="15">
        <f t="shared" si="4"/>
        <v>22.95</v>
      </c>
    </row>
    <row r="49" spans="1:9" x14ac:dyDescent="0.2">
      <c r="A49" s="18" t="s">
        <v>139</v>
      </c>
      <c r="B49" s="5" t="s">
        <v>115</v>
      </c>
      <c r="C49" s="8">
        <v>530</v>
      </c>
      <c r="D49" s="8">
        <v>3150</v>
      </c>
      <c r="E49" s="15">
        <v>14.9</v>
      </c>
      <c r="F49" s="18" t="s">
        <v>115</v>
      </c>
      <c r="G49" s="8">
        <v>530</v>
      </c>
      <c r="H49" s="8">
        <v>3150</v>
      </c>
      <c r="I49" s="15">
        <f t="shared" si="4"/>
        <v>14.9</v>
      </c>
    </row>
    <row r="50" spans="1:9" x14ac:dyDescent="0.2">
      <c r="A50" t="s">
        <v>116</v>
      </c>
      <c r="B50" s="5" t="s">
        <v>117</v>
      </c>
      <c r="C50" s="8">
        <v>1580</v>
      </c>
      <c r="D50" s="8">
        <v>4300</v>
      </c>
      <c r="E50" s="15">
        <v>73.900000000000006</v>
      </c>
      <c r="F50" s="18" t="s">
        <v>180</v>
      </c>
      <c r="G50" s="8">
        <v>1580</v>
      </c>
      <c r="H50" s="8">
        <v>4300</v>
      </c>
      <c r="I50" s="15">
        <f t="shared" si="4"/>
        <v>73.900000000000006</v>
      </c>
    </row>
    <row r="51" spans="1:9" x14ac:dyDescent="0.2">
      <c r="A51" s="18" t="s">
        <v>128</v>
      </c>
      <c r="B51" s="17" t="s">
        <v>127</v>
      </c>
      <c r="C51" s="8">
        <v>428</v>
      </c>
      <c r="D51" s="8">
        <v>850</v>
      </c>
      <c r="E51" s="15">
        <v>16</v>
      </c>
      <c r="F51" s="18" t="s">
        <v>179</v>
      </c>
      <c r="G51" s="8">
        <v>428</v>
      </c>
      <c r="H51" s="8">
        <v>850</v>
      </c>
      <c r="I51" s="15">
        <f t="shared" si="4"/>
        <v>16</v>
      </c>
    </row>
    <row r="52" spans="1:9" x14ac:dyDescent="0.2">
      <c r="A52" s="18" t="s">
        <v>129</v>
      </c>
      <c r="B52" s="17" t="s">
        <v>136</v>
      </c>
      <c r="C52" s="8">
        <v>1340</v>
      </c>
      <c r="D52" s="8">
        <v>1345</v>
      </c>
      <c r="E52" s="15">
        <v>35</v>
      </c>
      <c r="F52" s="18" t="s">
        <v>177</v>
      </c>
      <c r="G52" s="8">
        <v>1340</v>
      </c>
      <c r="H52" s="8">
        <v>1345</v>
      </c>
      <c r="I52" s="15">
        <f t="shared" si="4"/>
        <v>35</v>
      </c>
    </row>
    <row r="53" spans="1:9" x14ac:dyDescent="0.2">
      <c r="A53" s="18" t="s">
        <v>130</v>
      </c>
      <c r="B53" s="17" t="s">
        <v>138</v>
      </c>
      <c r="C53" s="8">
        <v>230</v>
      </c>
      <c r="D53" s="8">
        <v>700</v>
      </c>
      <c r="E53" s="15">
        <v>6.5</v>
      </c>
      <c r="F53" s="18" t="s">
        <v>176</v>
      </c>
      <c r="G53" s="8">
        <v>230</v>
      </c>
      <c r="H53" s="8">
        <v>700</v>
      </c>
      <c r="I53" s="15">
        <f t="shared" si="4"/>
        <v>6.5</v>
      </c>
    </row>
    <row r="54" spans="1:9" x14ac:dyDescent="0.2">
      <c r="A54" s="18" t="s">
        <v>131</v>
      </c>
      <c r="B54" s="17" t="s">
        <v>138</v>
      </c>
      <c r="C54" s="8">
        <v>145</v>
      </c>
      <c r="D54" s="8">
        <v>335</v>
      </c>
      <c r="E54" s="15">
        <v>4.95</v>
      </c>
      <c r="F54" s="27" t="s">
        <v>176</v>
      </c>
      <c r="G54" s="8">
        <v>145</v>
      </c>
      <c r="H54" s="8">
        <v>335</v>
      </c>
      <c r="I54" s="15">
        <f t="shared" si="4"/>
        <v>4.95</v>
      </c>
    </row>
    <row r="55" spans="1:9" x14ac:dyDescent="0.2">
      <c r="A55" s="18" t="s">
        <v>132</v>
      </c>
      <c r="B55" s="17" t="s">
        <v>138</v>
      </c>
      <c r="C55" s="8">
        <v>100</v>
      </c>
      <c r="D55" s="8">
        <v>450</v>
      </c>
      <c r="E55" s="15">
        <v>8.4</v>
      </c>
      <c r="F55" s="18" t="s">
        <v>176</v>
      </c>
      <c r="G55" s="8">
        <v>100</v>
      </c>
      <c r="H55" s="8">
        <v>450</v>
      </c>
      <c r="I55" s="15">
        <f t="shared" si="4"/>
        <v>8.4</v>
      </c>
    </row>
    <row r="56" spans="1:9" x14ac:dyDescent="0.2">
      <c r="A56" s="18" t="s">
        <v>133</v>
      </c>
      <c r="B56" s="17" t="s">
        <v>138</v>
      </c>
      <c r="C56" s="8">
        <v>370</v>
      </c>
      <c r="D56" s="8">
        <v>450</v>
      </c>
      <c r="E56" s="15">
        <v>8.9</v>
      </c>
      <c r="F56" s="18" t="s">
        <v>176</v>
      </c>
      <c r="G56" s="8">
        <v>370</v>
      </c>
      <c r="H56" s="8">
        <v>450</v>
      </c>
      <c r="I56" s="15">
        <f t="shared" si="4"/>
        <v>8.9</v>
      </c>
    </row>
    <row r="57" spans="1:9" x14ac:dyDescent="0.2">
      <c r="A57" s="18" t="s">
        <v>134</v>
      </c>
      <c r="B57" s="5" t="s">
        <v>112</v>
      </c>
      <c r="C57" s="8">
        <v>160</v>
      </c>
      <c r="D57" s="8">
        <v>250</v>
      </c>
      <c r="E57" s="15">
        <v>6.4</v>
      </c>
      <c r="F57" s="18" t="s">
        <v>176</v>
      </c>
      <c r="G57" s="8">
        <v>160</v>
      </c>
      <c r="H57" s="8">
        <v>250</v>
      </c>
      <c r="I57" s="15">
        <f t="shared" si="4"/>
        <v>6.4</v>
      </c>
    </row>
    <row r="58" spans="1:9" x14ac:dyDescent="0.2">
      <c r="A58" s="18" t="s">
        <v>135</v>
      </c>
      <c r="B58" s="17" t="s">
        <v>112</v>
      </c>
      <c r="C58" s="8">
        <v>215</v>
      </c>
      <c r="D58" s="8">
        <v>300</v>
      </c>
      <c r="E58" s="15">
        <v>4.95</v>
      </c>
      <c r="F58" s="18" t="s">
        <v>176</v>
      </c>
      <c r="G58" s="8">
        <v>215</v>
      </c>
      <c r="H58" s="8">
        <v>300</v>
      </c>
      <c r="I58" s="15">
        <f t="shared" si="4"/>
        <v>4.95</v>
      </c>
    </row>
    <row r="59" spans="1:9" x14ac:dyDescent="0.2">
      <c r="A59" s="18" t="s">
        <v>149</v>
      </c>
      <c r="B59" s="17" t="s">
        <v>150</v>
      </c>
      <c r="C59" s="8">
        <v>242</v>
      </c>
      <c r="D59" s="8">
        <v>450</v>
      </c>
      <c r="E59" s="15">
        <v>19</v>
      </c>
      <c r="F59" s="18" t="s">
        <v>179</v>
      </c>
      <c r="G59" s="8">
        <v>242</v>
      </c>
      <c r="H59" s="8">
        <v>450</v>
      </c>
      <c r="I59" s="15">
        <f t="shared" si="4"/>
        <v>19</v>
      </c>
    </row>
    <row r="60" spans="1:9" x14ac:dyDescent="0.2">
      <c r="A60" s="18" t="s">
        <v>151</v>
      </c>
      <c r="B60" s="17" t="s">
        <v>150</v>
      </c>
      <c r="C60" s="8">
        <v>468</v>
      </c>
      <c r="D60" s="8">
        <v>1200</v>
      </c>
      <c r="E60" s="15">
        <v>19</v>
      </c>
      <c r="F60" s="18" t="s">
        <v>179</v>
      </c>
      <c r="G60" s="8">
        <v>468</v>
      </c>
      <c r="H60" s="8">
        <v>1200</v>
      </c>
      <c r="I60" s="15">
        <f t="shared" si="4"/>
        <v>19</v>
      </c>
    </row>
    <row r="61" spans="1:9" x14ac:dyDescent="0.2">
      <c r="A61" s="18" t="s">
        <v>152</v>
      </c>
      <c r="B61" s="17" t="s">
        <v>150</v>
      </c>
      <c r="C61" s="8">
        <v>170</v>
      </c>
      <c r="D61" s="8">
        <v>300</v>
      </c>
      <c r="E61" s="15">
        <v>19</v>
      </c>
      <c r="F61" s="18" t="s">
        <v>176</v>
      </c>
      <c r="G61" s="8">
        <v>170</v>
      </c>
      <c r="H61" s="8">
        <v>300</v>
      </c>
      <c r="I61" s="15">
        <f t="shared" si="4"/>
        <v>19</v>
      </c>
    </row>
    <row r="62" spans="1:9" x14ac:dyDescent="0.2">
      <c r="A62" s="18" t="s">
        <v>153</v>
      </c>
      <c r="B62" s="17" t="s">
        <v>150</v>
      </c>
      <c r="C62" s="8">
        <v>326</v>
      </c>
      <c r="D62" s="8">
        <v>650</v>
      </c>
      <c r="E62" s="15">
        <v>19.899999999999999</v>
      </c>
      <c r="F62" s="18" t="s">
        <v>179</v>
      </c>
      <c r="G62" s="8">
        <v>326</v>
      </c>
      <c r="H62" s="8">
        <v>650</v>
      </c>
      <c r="I62" s="15">
        <f t="shared" si="4"/>
        <v>19.899999999999999</v>
      </c>
    </row>
    <row r="63" spans="1:9" x14ac:dyDescent="0.2">
      <c r="A63" s="18" t="s">
        <v>154</v>
      </c>
      <c r="B63" s="17" t="s">
        <v>150</v>
      </c>
      <c r="C63" s="8">
        <v>234</v>
      </c>
      <c r="D63" s="8">
        <v>350</v>
      </c>
      <c r="E63" s="15">
        <v>19.899999999999999</v>
      </c>
      <c r="F63" s="18" t="s">
        <v>179</v>
      </c>
      <c r="G63" s="8">
        <v>234</v>
      </c>
      <c r="H63" s="8">
        <v>350</v>
      </c>
      <c r="I63" s="15">
        <f t="shared" si="4"/>
        <v>19.899999999999999</v>
      </c>
    </row>
    <row r="64" spans="1:9" x14ac:dyDescent="0.2">
      <c r="A64" s="18" t="s">
        <v>155</v>
      </c>
      <c r="B64" s="17" t="s">
        <v>150</v>
      </c>
      <c r="C64" s="8">
        <v>126</v>
      </c>
      <c r="D64" s="8">
        <v>300</v>
      </c>
      <c r="E64" s="15">
        <v>9</v>
      </c>
      <c r="F64" s="18" t="s">
        <v>176</v>
      </c>
      <c r="G64" s="8">
        <v>126</v>
      </c>
      <c r="H64" s="8">
        <v>300</v>
      </c>
      <c r="I64" s="15">
        <f t="shared" si="4"/>
        <v>9</v>
      </c>
    </row>
    <row r="65" spans="1:9" x14ac:dyDescent="0.2">
      <c r="A65" s="18" t="s">
        <v>156</v>
      </c>
      <c r="B65" s="5" t="s">
        <v>150</v>
      </c>
      <c r="C65" s="8">
        <v>200</v>
      </c>
      <c r="D65" s="8">
        <v>1200</v>
      </c>
      <c r="E65" s="15">
        <v>8.75</v>
      </c>
      <c r="F65" s="18" t="s">
        <v>176</v>
      </c>
      <c r="G65" s="8">
        <v>200</v>
      </c>
      <c r="H65" s="8">
        <v>1200</v>
      </c>
      <c r="I65" s="15">
        <f t="shared" si="4"/>
        <v>8.75</v>
      </c>
    </row>
    <row r="66" spans="1:9" x14ac:dyDescent="0.2">
      <c r="A66" s="18" t="s">
        <v>158</v>
      </c>
      <c r="B66" s="5" t="s">
        <v>157</v>
      </c>
      <c r="C66" s="8">
        <v>710</v>
      </c>
      <c r="D66" s="8">
        <v>1800</v>
      </c>
      <c r="E66" s="15">
        <v>20.95</v>
      </c>
      <c r="F66" s="18" t="s">
        <v>181</v>
      </c>
      <c r="G66" s="8">
        <v>710</v>
      </c>
      <c r="H66" s="8">
        <v>1800</v>
      </c>
      <c r="I66" s="15">
        <f t="shared" si="4"/>
        <v>20.95</v>
      </c>
    </row>
    <row r="67" spans="1:9" x14ac:dyDescent="0.2">
      <c r="A67" s="18" t="s">
        <v>159</v>
      </c>
      <c r="B67" s="5" t="s">
        <v>157</v>
      </c>
      <c r="C67" s="8">
        <v>714</v>
      </c>
      <c r="D67" s="8">
        <v>1900</v>
      </c>
      <c r="E67" s="15">
        <v>23.95</v>
      </c>
      <c r="F67" s="18" t="s">
        <v>181</v>
      </c>
      <c r="G67" s="8">
        <v>714</v>
      </c>
      <c r="H67" s="8">
        <v>1900</v>
      </c>
      <c r="I67" s="15">
        <f t="shared" si="4"/>
        <v>23.95</v>
      </c>
    </row>
    <row r="68" spans="1:9" x14ac:dyDescent="0.2">
      <c r="A68" s="18" t="s">
        <v>160</v>
      </c>
      <c r="B68" s="5" t="s">
        <v>157</v>
      </c>
      <c r="C68" s="8">
        <v>652</v>
      </c>
      <c r="D68" s="8">
        <v>1900</v>
      </c>
      <c r="E68" s="15">
        <v>23.95</v>
      </c>
      <c r="F68" s="18" t="s">
        <v>181</v>
      </c>
      <c r="G68" s="8">
        <v>652</v>
      </c>
      <c r="H68" s="8">
        <v>1900</v>
      </c>
      <c r="I68" s="15">
        <f t="shared" si="4"/>
        <v>23.95</v>
      </c>
    </row>
    <row r="69" spans="1:9" x14ac:dyDescent="0.2">
      <c r="A69" s="18" t="s">
        <v>161</v>
      </c>
      <c r="B69" s="5" t="s">
        <v>127</v>
      </c>
      <c r="C69" s="8">
        <v>422</v>
      </c>
      <c r="D69" s="8">
        <v>800</v>
      </c>
      <c r="E69" s="15">
        <v>25</v>
      </c>
      <c r="F69" s="18" t="s">
        <v>179</v>
      </c>
      <c r="G69" s="8">
        <v>422</v>
      </c>
      <c r="H69" s="8">
        <v>800</v>
      </c>
      <c r="I69" s="15">
        <f t="shared" si="4"/>
        <v>25</v>
      </c>
    </row>
    <row r="70" spans="1:9" x14ac:dyDescent="0.2">
      <c r="A70" s="18" t="s">
        <v>162</v>
      </c>
      <c r="B70" s="5" t="s">
        <v>127</v>
      </c>
      <c r="C70" s="8">
        <v>266</v>
      </c>
      <c r="D70" s="8">
        <v>350</v>
      </c>
      <c r="E70" s="15">
        <v>19.5</v>
      </c>
      <c r="F70" s="18" t="s">
        <v>179</v>
      </c>
      <c r="G70" s="8">
        <v>266</v>
      </c>
      <c r="H70" s="8">
        <v>350</v>
      </c>
      <c r="I70" s="15">
        <f t="shared" si="4"/>
        <v>19.5</v>
      </c>
    </row>
    <row r="71" spans="1:9" x14ac:dyDescent="0.2">
      <c r="A71" s="18" t="s">
        <v>163</v>
      </c>
      <c r="B71" s="5" t="s">
        <v>127</v>
      </c>
      <c r="C71" s="8">
        <v>555</v>
      </c>
      <c r="D71" s="8">
        <v>750</v>
      </c>
      <c r="E71" s="15">
        <v>22.9</v>
      </c>
      <c r="F71" s="18" t="s">
        <v>179</v>
      </c>
      <c r="G71" s="8">
        <v>555</v>
      </c>
      <c r="H71" s="8">
        <v>750</v>
      </c>
      <c r="I71" s="15">
        <f t="shared" si="4"/>
        <v>22.9</v>
      </c>
    </row>
    <row r="72" spans="1:9" x14ac:dyDescent="0.2">
      <c r="A72" s="18" t="s">
        <v>164</v>
      </c>
      <c r="B72" s="5" t="s">
        <v>127</v>
      </c>
      <c r="C72" s="8">
        <v>456</v>
      </c>
      <c r="D72" s="8">
        <v>550</v>
      </c>
      <c r="E72" s="15">
        <v>21.9</v>
      </c>
      <c r="F72" s="18" t="s">
        <v>179</v>
      </c>
      <c r="G72" s="8">
        <v>456</v>
      </c>
      <c r="H72" s="8">
        <v>550</v>
      </c>
      <c r="I72" s="15">
        <f t="shared" si="4"/>
        <v>21.9</v>
      </c>
    </row>
    <row r="73" spans="1:9" x14ac:dyDescent="0.2">
      <c r="A73" s="18" t="s">
        <v>165</v>
      </c>
      <c r="B73" s="5" t="s">
        <v>166</v>
      </c>
      <c r="C73" s="8">
        <v>364</v>
      </c>
      <c r="D73" s="8">
        <v>500</v>
      </c>
      <c r="E73" s="15">
        <v>18</v>
      </c>
      <c r="F73" s="18" t="s">
        <v>179</v>
      </c>
      <c r="G73" s="8">
        <v>364</v>
      </c>
      <c r="H73" s="8">
        <v>500</v>
      </c>
      <c r="I73" s="15">
        <f t="shared" si="4"/>
        <v>18</v>
      </c>
    </row>
    <row r="74" spans="1:9" x14ac:dyDescent="0.2">
      <c r="A74" s="18" t="s">
        <v>167</v>
      </c>
      <c r="B74" s="5" t="s">
        <v>166</v>
      </c>
      <c r="C74" s="8">
        <v>460</v>
      </c>
      <c r="D74" s="8">
        <v>450</v>
      </c>
      <c r="E74" s="15">
        <v>18</v>
      </c>
      <c r="F74" s="18" t="s">
        <v>179</v>
      </c>
      <c r="G74" s="8">
        <v>460</v>
      </c>
      <c r="H74" s="8">
        <v>450</v>
      </c>
      <c r="I74" s="15">
        <f t="shared" si="4"/>
        <v>18</v>
      </c>
    </row>
    <row r="75" spans="1:9" x14ac:dyDescent="0.2">
      <c r="A75" s="18" t="s">
        <v>168</v>
      </c>
      <c r="B75" s="5" t="s">
        <v>166</v>
      </c>
      <c r="C75" s="8">
        <v>600</v>
      </c>
      <c r="D75" s="8">
        <v>550</v>
      </c>
      <c r="E75" s="15">
        <v>20</v>
      </c>
      <c r="F75" s="18" t="s">
        <v>179</v>
      </c>
      <c r="G75" s="8">
        <v>600</v>
      </c>
      <c r="H75" s="8">
        <v>550</v>
      </c>
      <c r="I75" s="15">
        <f t="shared" si="4"/>
        <v>20</v>
      </c>
    </row>
    <row r="76" spans="1:9" x14ac:dyDescent="0.2">
      <c r="A76" s="18" t="s">
        <v>169</v>
      </c>
      <c r="B76" s="5" t="s">
        <v>136</v>
      </c>
      <c r="C76" s="8">
        <v>339</v>
      </c>
      <c r="D76" s="8">
        <v>950</v>
      </c>
      <c r="E76" s="15">
        <v>5.95</v>
      </c>
      <c r="F76" s="18" t="s">
        <v>177</v>
      </c>
      <c r="G76" s="8">
        <v>339</v>
      </c>
      <c r="H76" s="8">
        <v>950</v>
      </c>
      <c r="I76" s="15">
        <f t="shared" si="4"/>
        <v>5.95</v>
      </c>
    </row>
    <row r="77" spans="1:9" x14ac:dyDescent="0.2">
      <c r="A77" s="18" t="s">
        <v>170</v>
      </c>
      <c r="B77" s="5" t="s">
        <v>136</v>
      </c>
      <c r="C77" s="8">
        <v>2300</v>
      </c>
      <c r="D77" s="8">
        <v>7495</v>
      </c>
      <c r="E77" s="15">
        <v>35</v>
      </c>
      <c r="F77" s="18" t="s">
        <v>177</v>
      </c>
      <c r="G77" s="8">
        <v>2300</v>
      </c>
      <c r="H77" s="8">
        <v>7495</v>
      </c>
      <c r="I77" s="15">
        <f t="shared" si="4"/>
        <v>35</v>
      </c>
    </row>
    <row r="78" spans="1:9" x14ac:dyDescent="0.2">
      <c r="A78" s="18" t="s">
        <v>171</v>
      </c>
      <c r="B78" s="17" t="s">
        <v>136</v>
      </c>
      <c r="C78" s="8">
        <v>1100</v>
      </c>
      <c r="D78" s="8">
        <v>2600</v>
      </c>
      <c r="E78" s="15">
        <v>25.9</v>
      </c>
      <c r="F78" s="18" t="s">
        <v>177</v>
      </c>
      <c r="G78" s="8">
        <v>1100</v>
      </c>
      <c r="H78" s="8">
        <v>2600</v>
      </c>
      <c r="I78" s="15">
        <f t="shared" si="4"/>
        <v>25.9</v>
      </c>
    </row>
    <row r="79" spans="1:9" x14ac:dyDescent="0.2">
      <c r="A79" s="18" t="s">
        <v>186</v>
      </c>
      <c r="B79" s="5" t="s">
        <v>188</v>
      </c>
      <c r="C79" s="5">
        <v>1890</v>
      </c>
      <c r="D79" s="5">
        <v>1500</v>
      </c>
      <c r="E79" s="15">
        <v>19.95</v>
      </c>
      <c r="F79" s="18" t="s">
        <v>189</v>
      </c>
      <c r="G79">
        <f>C79</f>
        <v>1890</v>
      </c>
      <c r="H79">
        <f t="shared" ref="H79" si="5">D79</f>
        <v>1500</v>
      </c>
      <c r="I79">
        <f t="shared" si="4"/>
        <v>19.95</v>
      </c>
    </row>
    <row r="80" spans="1:9" x14ac:dyDescent="0.2">
      <c r="A80" s="18" t="s">
        <v>190</v>
      </c>
      <c r="B80" s="5" t="s">
        <v>188</v>
      </c>
      <c r="C80" s="5">
        <v>100</v>
      </c>
      <c r="D80" s="5">
        <v>500</v>
      </c>
      <c r="E80" s="15">
        <v>9.9499999999999993</v>
      </c>
      <c r="F80" s="18" t="s">
        <v>189</v>
      </c>
      <c r="G80">
        <f t="shared" ref="G80:G106" si="6">C80</f>
        <v>100</v>
      </c>
      <c r="H80">
        <f t="shared" ref="H80:H106" si="7">D80</f>
        <v>500</v>
      </c>
      <c r="I80">
        <f t="shared" ref="I80:I106" si="8">E80</f>
        <v>9.9499999999999993</v>
      </c>
    </row>
    <row r="81" spans="1:9" x14ac:dyDescent="0.2">
      <c r="A81" s="18" t="s">
        <v>191</v>
      </c>
      <c r="B81" s="5" t="s">
        <v>192</v>
      </c>
      <c r="C81" s="5">
        <v>635</v>
      </c>
      <c r="D81" s="5">
        <v>800</v>
      </c>
      <c r="E81" s="15">
        <v>27.4</v>
      </c>
      <c r="F81" s="18" t="s">
        <v>193</v>
      </c>
      <c r="G81">
        <f t="shared" si="6"/>
        <v>635</v>
      </c>
      <c r="H81">
        <f t="shared" si="7"/>
        <v>800</v>
      </c>
      <c r="I81">
        <f t="shared" si="8"/>
        <v>27.4</v>
      </c>
    </row>
    <row r="82" spans="1:9" x14ac:dyDescent="0.2">
      <c r="A82" s="18" t="s">
        <v>194</v>
      </c>
      <c r="B82" s="5" t="s">
        <v>172</v>
      </c>
      <c r="C82" s="5">
        <v>336</v>
      </c>
      <c r="D82" s="5">
        <v>400</v>
      </c>
      <c r="E82" s="15">
        <v>18.899999999999999</v>
      </c>
      <c r="F82" s="18" t="s">
        <v>187</v>
      </c>
      <c r="G82">
        <f t="shared" si="6"/>
        <v>336</v>
      </c>
      <c r="H82">
        <f t="shared" si="7"/>
        <v>400</v>
      </c>
      <c r="I82">
        <f t="shared" si="8"/>
        <v>18.899999999999999</v>
      </c>
    </row>
    <row r="83" spans="1:9" x14ac:dyDescent="0.2">
      <c r="A83" s="18" t="s">
        <v>195</v>
      </c>
      <c r="B83" s="5" t="s">
        <v>181</v>
      </c>
      <c r="C83" s="5">
        <v>505</v>
      </c>
      <c r="D83" s="5">
        <v>1700</v>
      </c>
      <c r="E83" s="15">
        <v>15</v>
      </c>
      <c r="F83" s="18" t="s">
        <v>181</v>
      </c>
      <c r="G83">
        <f t="shared" si="6"/>
        <v>505</v>
      </c>
      <c r="H83">
        <f t="shared" si="7"/>
        <v>1700</v>
      </c>
      <c r="I83">
        <f t="shared" si="8"/>
        <v>15</v>
      </c>
    </row>
    <row r="84" spans="1:9" x14ac:dyDescent="0.2">
      <c r="A84" s="18" t="s">
        <v>196</v>
      </c>
      <c r="B84" s="5" t="s">
        <v>157</v>
      </c>
      <c r="C84" s="5">
        <v>332</v>
      </c>
      <c r="D84" s="5">
        <v>500</v>
      </c>
      <c r="E84" s="15">
        <v>15</v>
      </c>
      <c r="F84" s="18" t="s">
        <v>181</v>
      </c>
      <c r="G84">
        <f t="shared" si="6"/>
        <v>332</v>
      </c>
      <c r="H84">
        <f t="shared" si="7"/>
        <v>500</v>
      </c>
      <c r="I84">
        <f t="shared" si="8"/>
        <v>15</v>
      </c>
    </row>
    <row r="85" spans="1:9" x14ac:dyDescent="0.2">
      <c r="A85" s="18" t="s">
        <v>198</v>
      </c>
      <c r="B85" s="5" t="s">
        <v>172</v>
      </c>
      <c r="C85" s="5">
        <v>366</v>
      </c>
      <c r="D85" s="5">
        <v>300</v>
      </c>
      <c r="E85" s="15">
        <v>15.9</v>
      </c>
      <c r="F85" s="18" t="s">
        <v>187</v>
      </c>
      <c r="G85">
        <f t="shared" si="6"/>
        <v>366</v>
      </c>
      <c r="H85">
        <f t="shared" si="7"/>
        <v>300</v>
      </c>
      <c r="I85">
        <f t="shared" si="8"/>
        <v>15.9</v>
      </c>
    </row>
    <row r="86" spans="1:9" x14ac:dyDescent="0.2">
      <c r="A86" s="18" t="s">
        <v>199</v>
      </c>
      <c r="B86" s="5" t="s">
        <v>172</v>
      </c>
      <c r="C86" s="5">
        <v>374</v>
      </c>
      <c r="D86" s="5">
        <v>300</v>
      </c>
      <c r="E86" s="15">
        <v>12.99</v>
      </c>
      <c r="F86" s="18" t="s">
        <v>187</v>
      </c>
      <c r="G86">
        <f t="shared" si="6"/>
        <v>374</v>
      </c>
      <c r="H86">
        <f t="shared" si="7"/>
        <v>300</v>
      </c>
      <c r="I86">
        <f t="shared" si="8"/>
        <v>12.99</v>
      </c>
    </row>
    <row r="87" spans="1:9" x14ac:dyDescent="0.2">
      <c r="A87" s="18" t="s">
        <v>200</v>
      </c>
      <c r="B87" s="5" t="s">
        <v>114</v>
      </c>
      <c r="C87" s="5">
        <v>878</v>
      </c>
      <c r="D87" s="5">
        <v>2300</v>
      </c>
      <c r="E87" s="15">
        <v>21.9</v>
      </c>
      <c r="F87" s="18" t="s">
        <v>201</v>
      </c>
      <c r="G87">
        <f t="shared" si="6"/>
        <v>878</v>
      </c>
      <c r="H87">
        <f t="shared" si="7"/>
        <v>2300</v>
      </c>
      <c r="I87">
        <f t="shared" si="8"/>
        <v>21.9</v>
      </c>
    </row>
    <row r="88" spans="1:9" x14ac:dyDescent="0.2">
      <c r="A88" s="18" t="s">
        <v>202</v>
      </c>
      <c r="B88" s="5" t="s">
        <v>114</v>
      </c>
      <c r="C88" s="5">
        <v>645</v>
      </c>
      <c r="D88" s="5">
        <v>2260</v>
      </c>
      <c r="E88" s="15">
        <v>15.95</v>
      </c>
      <c r="F88" s="18" t="s">
        <v>177</v>
      </c>
      <c r="G88">
        <f t="shared" si="6"/>
        <v>645</v>
      </c>
      <c r="H88">
        <f t="shared" si="7"/>
        <v>2260</v>
      </c>
      <c r="I88">
        <f t="shared" si="8"/>
        <v>15.95</v>
      </c>
    </row>
    <row r="89" spans="1:9" x14ac:dyDescent="0.2">
      <c r="A89" s="18" t="s">
        <v>203</v>
      </c>
      <c r="B89" s="5" t="s">
        <v>204</v>
      </c>
      <c r="C89" s="5">
        <v>750</v>
      </c>
      <c r="D89" s="5">
        <v>1900</v>
      </c>
      <c r="E89" s="15">
        <v>27.5</v>
      </c>
      <c r="F89" s="18" t="s">
        <v>177</v>
      </c>
      <c r="G89">
        <f t="shared" si="6"/>
        <v>750</v>
      </c>
      <c r="H89">
        <f t="shared" si="7"/>
        <v>1900</v>
      </c>
      <c r="I89">
        <f t="shared" si="8"/>
        <v>27.5</v>
      </c>
    </row>
    <row r="90" spans="1:9" x14ac:dyDescent="0.2">
      <c r="A90" s="18" t="s">
        <v>205</v>
      </c>
      <c r="B90" s="5" t="s">
        <v>201</v>
      </c>
      <c r="C90" s="5">
        <v>410</v>
      </c>
      <c r="D90" s="5">
        <v>1200</v>
      </c>
      <c r="E90" s="15">
        <v>14.9</v>
      </c>
      <c r="F90" s="18" t="s">
        <v>177</v>
      </c>
      <c r="G90">
        <f t="shared" si="6"/>
        <v>410</v>
      </c>
      <c r="H90">
        <f t="shared" si="7"/>
        <v>1200</v>
      </c>
      <c r="I90">
        <f t="shared" si="8"/>
        <v>14.9</v>
      </c>
    </row>
    <row r="91" spans="1:9" x14ac:dyDescent="0.2">
      <c r="A91" s="18" t="s">
        <v>206</v>
      </c>
      <c r="B91" s="5" t="s">
        <v>207</v>
      </c>
      <c r="C91" s="5">
        <v>344</v>
      </c>
      <c r="D91" s="5">
        <v>500</v>
      </c>
      <c r="E91" s="15">
        <v>20.9</v>
      </c>
      <c r="F91" s="18" t="s">
        <v>179</v>
      </c>
      <c r="G91">
        <f t="shared" si="6"/>
        <v>344</v>
      </c>
      <c r="H91">
        <f t="shared" si="7"/>
        <v>500</v>
      </c>
      <c r="I91">
        <f t="shared" si="8"/>
        <v>20.9</v>
      </c>
    </row>
    <row r="92" spans="1:9" x14ac:dyDescent="0.2">
      <c r="A92" s="18" t="s">
        <v>208</v>
      </c>
      <c r="B92" s="5" t="s">
        <v>136</v>
      </c>
      <c r="C92" s="5">
        <v>740</v>
      </c>
      <c r="D92" s="5">
        <v>2200</v>
      </c>
      <c r="E92" s="15">
        <v>16.899999999999999</v>
      </c>
      <c r="F92" s="18" t="s">
        <v>177</v>
      </c>
      <c r="G92">
        <f t="shared" si="6"/>
        <v>740</v>
      </c>
      <c r="H92">
        <f t="shared" si="7"/>
        <v>2200</v>
      </c>
      <c r="I92">
        <f t="shared" si="8"/>
        <v>16.899999999999999</v>
      </c>
    </row>
    <row r="93" spans="1:9" x14ac:dyDescent="0.2">
      <c r="A93" s="18" t="s">
        <v>209</v>
      </c>
      <c r="B93" s="5" t="s">
        <v>136</v>
      </c>
      <c r="C93" s="5">
        <v>1510</v>
      </c>
      <c r="D93" s="5">
        <v>1800</v>
      </c>
      <c r="E93" s="15">
        <v>24.9</v>
      </c>
      <c r="F93" s="18" t="s">
        <v>177</v>
      </c>
      <c r="G93">
        <f t="shared" si="6"/>
        <v>1510</v>
      </c>
      <c r="H93">
        <f t="shared" si="7"/>
        <v>1800</v>
      </c>
      <c r="I93">
        <f t="shared" si="8"/>
        <v>24.9</v>
      </c>
    </row>
    <row r="94" spans="1:9" x14ac:dyDescent="0.2">
      <c r="A94" s="18" t="s">
        <v>210</v>
      </c>
      <c r="B94" s="5" t="s">
        <v>136</v>
      </c>
      <c r="C94" s="5">
        <v>479</v>
      </c>
      <c r="D94" s="5">
        <v>200</v>
      </c>
      <c r="E94" s="15">
        <v>15.95</v>
      </c>
      <c r="F94" s="18" t="s">
        <v>177</v>
      </c>
      <c r="G94">
        <f t="shared" si="6"/>
        <v>479</v>
      </c>
      <c r="H94">
        <f t="shared" si="7"/>
        <v>200</v>
      </c>
      <c r="I94">
        <f t="shared" si="8"/>
        <v>15.95</v>
      </c>
    </row>
    <row r="95" spans="1:9" x14ac:dyDescent="0.2">
      <c r="A95" s="18" t="s">
        <v>211</v>
      </c>
      <c r="B95" s="5" t="s">
        <v>136</v>
      </c>
      <c r="C95" s="5">
        <v>926</v>
      </c>
      <c r="D95" s="5">
        <v>1900</v>
      </c>
      <c r="E95" s="15">
        <v>25</v>
      </c>
      <c r="F95" s="18" t="s">
        <v>177</v>
      </c>
      <c r="G95">
        <f t="shared" si="6"/>
        <v>926</v>
      </c>
      <c r="H95">
        <f t="shared" si="7"/>
        <v>1900</v>
      </c>
      <c r="I95">
        <f t="shared" si="8"/>
        <v>25</v>
      </c>
    </row>
    <row r="96" spans="1:9" x14ac:dyDescent="0.2">
      <c r="A96" s="18" t="s">
        <v>223</v>
      </c>
      <c r="B96" s="5" t="s">
        <v>136</v>
      </c>
      <c r="C96" s="5">
        <v>1460</v>
      </c>
      <c r="D96" s="5">
        <v>2400</v>
      </c>
      <c r="E96" s="15">
        <v>29.95</v>
      </c>
      <c r="F96" s="18" t="s">
        <v>177</v>
      </c>
      <c r="G96">
        <f t="shared" si="6"/>
        <v>1460</v>
      </c>
      <c r="H96">
        <f t="shared" si="7"/>
        <v>2400</v>
      </c>
      <c r="I96">
        <f t="shared" si="8"/>
        <v>29.95</v>
      </c>
    </row>
    <row r="97" spans="1:9" x14ac:dyDescent="0.2">
      <c r="A97" s="5" t="s">
        <v>212</v>
      </c>
      <c r="B97" s="5" t="s">
        <v>213</v>
      </c>
      <c r="C97" s="5">
        <v>196</v>
      </c>
      <c r="D97" s="5">
        <v>500</v>
      </c>
      <c r="E97" s="15">
        <v>6.9</v>
      </c>
      <c r="F97" s="18" t="s">
        <v>177</v>
      </c>
      <c r="G97">
        <f t="shared" si="6"/>
        <v>196</v>
      </c>
      <c r="H97">
        <f t="shared" si="7"/>
        <v>500</v>
      </c>
      <c r="I97">
        <f t="shared" si="8"/>
        <v>6.9</v>
      </c>
    </row>
    <row r="98" spans="1:9" x14ac:dyDescent="0.2">
      <c r="A98" s="5" t="s">
        <v>214</v>
      </c>
      <c r="B98" s="5" t="s">
        <v>213</v>
      </c>
      <c r="C98" s="5">
        <v>122</v>
      </c>
      <c r="D98" s="5">
        <v>200</v>
      </c>
      <c r="E98" s="15">
        <v>5.9</v>
      </c>
      <c r="F98" s="18" t="s">
        <v>177</v>
      </c>
      <c r="G98">
        <f t="shared" si="6"/>
        <v>122</v>
      </c>
      <c r="H98">
        <f t="shared" si="7"/>
        <v>200</v>
      </c>
      <c r="I98">
        <f t="shared" si="8"/>
        <v>5.9</v>
      </c>
    </row>
    <row r="99" spans="1:9" x14ac:dyDescent="0.2">
      <c r="A99" s="5" t="s">
        <v>215</v>
      </c>
      <c r="B99" s="5" t="s">
        <v>216</v>
      </c>
      <c r="C99" s="5">
        <v>334</v>
      </c>
      <c r="D99" s="5">
        <v>850</v>
      </c>
      <c r="E99" s="15">
        <v>13</v>
      </c>
      <c r="F99" s="18" t="s">
        <v>179</v>
      </c>
      <c r="G99">
        <f t="shared" si="6"/>
        <v>334</v>
      </c>
      <c r="H99">
        <f t="shared" si="7"/>
        <v>850</v>
      </c>
      <c r="I99">
        <f t="shared" si="8"/>
        <v>13</v>
      </c>
    </row>
    <row r="100" spans="1:9" x14ac:dyDescent="0.2">
      <c r="A100" s="5" t="s">
        <v>217</v>
      </c>
      <c r="B100" s="5" t="s">
        <v>172</v>
      </c>
      <c r="C100" s="5">
        <v>413</v>
      </c>
      <c r="D100" s="5">
        <v>600</v>
      </c>
      <c r="E100" s="15">
        <v>13.1</v>
      </c>
      <c r="F100" s="18" t="s">
        <v>187</v>
      </c>
      <c r="G100">
        <f t="shared" si="6"/>
        <v>413</v>
      </c>
      <c r="H100">
        <f t="shared" si="7"/>
        <v>600</v>
      </c>
      <c r="I100">
        <f t="shared" si="8"/>
        <v>13.1</v>
      </c>
    </row>
    <row r="101" spans="1:9" x14ac:dyDescent="0.2">
      <c r="A101" s="5" t="s">
        <v>218</v>
      </c>
      <c r="B101" s="5" t="s">
        <v>136</v>
      </c>
      <c r="C101" s="5">
        <v>1300</v>
      </c>
      <c r="D101" s="5">
        <v>2760</v>
      </c>
      <c r="E101" s="15">
        <v>29.95</v>
      </c>
      <c r="F101" s="18" t="s">
        <v>177</v>
      </c>
      <c r="G101">
        <f t="shared" si="6"/>
        <v>1300</v>
      </c>
      <c r="H101">
        <f t="shared" si="7"/>
        <v>2760</v>
      </c>
      <c r="I101">
        <f t="shared" si="8"/>
        <v>29.95</v>
      </c>
    </row>
    <row r="102" spans="1:9" x14ac:dyDescent="0.2">
      <c r="A102" s="5" t="s">
        <v>219</v>
      </c>
      <c r="B102" s="5" t="s">
        <v>213</v>
      </c>
      <c r="C102" s="5">
        <v>1500</v>
      </c>
      <c r="D102" s="5">
        <v>2000</v>
      </c>
      <c r="E102" s="15">
        <v>25</v>
      </c>
      <c r="F102" s="18" t="s">
        <v>177</v>
      </c>
      <c r="G102">
        <f t="shared" si="6"/>
        <v>1500</v>
      </c>
      <c r="H102">
        <f t="shared" si="7"/>
        <v>2000</v>
      </c>
      <c r="I102">
        <f t="shared" si="8"/>
        <v>25</v>
      </c>
    </row>
    <row r="103" spans="1:9" x14ac:dyDescent="0.2">
      <c r="A103" s="5" t="s">
        <v>220</v>
      </c>
      <c r="B103" s="5" t="s">
        <v>117</v>
      </c>
      <c r="C103" s="5">
        <v>1350</v>
      </c>
      <c r="D103" s="5">
        <v>2186</v>
      </c>
      <c r="E103" s="15">
        <v>29.9</v>
      </c>
      <c r="F103" s="18" t="s">
        <v>180</v>
      </c>
      <c r="G103">
        <f t="shared" si="6"/>
        <v>1350</v>
      </c>
      <c r="H103">
        <f t="shared" si="7"/>
        <v>2186</v>
      </c>
      <c r="I103">
        <f t="shared" si="8"/>
        <v>29.9</v>
      </c>
    </row>
    <row r="104" spans="1:9" x14ac:dyDescent="0.2">
      <c r="A104" s="5" t="s">
        <v>221</v>
      </c>
      <c r="B104" s="5" t="s">
        <v>201</v>
      </c>
      <c r="C104" s="5">
        <v>575</v>
      </c>
      <c r="D104" s="5">
        <v>1700</v>
      </c>
      <c r="E104" s="15">
        <v>17.899999999999999</v>
      </c>
      <c r="F104" s="18" t="s">
        <v>177</v>
      </c>
      <c r="G104">
        <f t="shared" si="6"/>
        <v>575</v>
      </c>
      <c r="H104">
        <f t="shared" si="7"/>
        <v>1700</v>
      </c>
      <c r="I104">
        <f t="shared" si="8"/>
        <v>17.899999999999999</v>
      </c>
    </row>
    <row r="105" spans="1:9" ht="25.5" x14ac:dyDescent="0.2">
      <c r="A105" s="5" t="s">
        <v>222</v>
      </c>
      <c r="B105" s="5" t="s">
        <v>136</v>
      </c>
      <c r="C105" s="5">
        <v>1500</v>
      </c>
      <c r="D105" s="5">
        <v>2422</v>
      </c>
      <c r="E105" s="15">
        <v>29.9</v>
      </c>
      <c r="F105" s="18" t="s">
        <v>177</v>
      </c>
      <c r="G105">
        <f t="shared" si="6"/>
        <v>1500</v>
      </c>
      <c r="I105">
        <f t="shared" si="8"/>
        <v>29.9</v>
      </c>
    </row>
    <row r="106" spans="1:9" x14ac:dyDescent="0.2">
      <c r="A106" s="18" t="s">
        <v>197</v>
      </c>
      <c r="B106" s="5" t="s">
        <v>172</v>
      </c>
      <c r="C106" s="5">
        <v>290</v>
      </c>
      <c r="D106" s="5">
        <v>250</v>
      </c>
      <c r="E106" s="15">
        <v>13.1</v>
      </c>
      <c r="F106" s="18" t="s">
        <v>187</v>
      </c>
      <c r="G106">
        <f t="shared" si="6"/>
        <v>290</v>
      </c>
      <c r="H106">
        <f t="shared" si="7"/>
        <v>250</v>
      </c>
      <c r="I106">
        <f t="shared" si="8"/>
        <v>13.1</v>
      </c>
    </row>
    <row r="107" spans="1:9" x14ac:dyDescent="0.2">
      <c r="A107" s="18"/>
      <c r="E107" s="15"/>
      <c r="F107" s="18"/>
    </row>
    <row r="108" spans="1:9" x14ac:dyDescent="0.2">
      <c r="A108" s="296" t="s">
        <v>228</v>
      </c>
      <c r="B108" s="296"/>
      <c r="C108" s="296"/>
      <c r="D108" s="32"/>
      <c r="E108" s="33"/>
      <c r="F108" s="3"/>
    </row>
    <row r="109" spans="1:9" x14ac:dyDescent="0.2">
      <c r="A109" s="21" t="s">
        <v>147</v>
      </c>
      <c r="B109" s="21" t="s">
        <v>146</v>
      </c>
      <c r="C109" s="21" t="s">
        <v>145</v>
      </c>
      <c r="D109" s="22" t="s">
        <v>109</v>
      </c>
      <c r="E109" s="23" t="s">
        <v>144</v>
      </c>
      <c r="F109" s="3"/>
    </row>
    <row r="110" spans="1:9" x14ac:dyDescent="0.2">
      <c r="A110" s="5" t="s">
        <v>112</v>
      </c>
      <c r="B110" s="8">
        <f t="shared" ref="B110:B121" ca="1" si="9">AVERAGEIF($B$45:$E$106,A110,$C$45:$C$106)</f>
        <v>184.33333333333334</v>
      </c>
      <c r="C110" s="8">
        <f t="shared" ref="C110:C121" ca="1" si="10">AVERAGEIF($B$45:$E$106,A110,$D$45:$D$106)</f>
        <v>266.66666666666669</v>
      </c>
      <c r="D110" s="8">
        <f t="shared" ref="D110:D121" ca="1" si="11">AVERAGEIF($B$45:$E$106,A110,$E$45:$E$106)</f>
        <v>6.6833333333333336</v>
      </c>
      <c r="E110" s="20">
        <f ca="1">D110/Hypothèses!$B$16</f>
        <v>0.2227777777777778</v>
      </c>
      <c r="F110" s="3"/>
    </row>
    <row r="111" spans="1:9" x14ac:dyDescent="0.2">
      <c r="A111" s="5" t="s">
        <v>119</v>
      </c>
      <c r="B111" s="8">
        <f t="shared" ca="1" si="9"/>
        <v>430</v>
      </c>
      <c r="C111" s="8">
        <f t="shared" ca="1" si="10"/>
        <v>1530</v>
      </c>
      <c r="D111" s="8">
        <f t="shared" ca="1" si="11"/>
        <v>19.899999999999999</v>
      </c>
      <c r="E111" s="20">
        <f ca="1">D111/Hypothèses!$B$16</f>
        <v>0.66333333333333333</v>
      </c>
      <c r="F111" s="3"/>
    </row>
    <row r="112" spans="1:9" x14ac:dyDescent="0.2">
      <c r="A112" s="17" t="s">
        <v>136</v>
      </c>
      <c r="B112" s="8">
        <f t="shared" ca="1" si="9"/>
        <v>1211.1666666666667</v>
      </c>
      <c r="C112" s="8">
        <f t="shared" ca="1" si="10"/>
        <v>2397.6666666666665</v>
      </c>
      <c r="D112" s="8">
        <f t="shared" ca="1" si="11"/>
        <v>26.033333333333331</v>
      </c>
      <c r="E112" s="20">
        <f ca="1">D112/Hypothèses!$B$16</f>
        <v>0.86777777777777776</v>
      </c>
      <c r="F112" s="3"/>
    </row>
    <row r="113" spans="1:6" x14ac:dyDescent="0.2">
      <c r="A113" s="5" t="s">
        <v>114</v>
      </c>
      <c r="B113" s="8">
        <f t="shared" ca="1" si="9"/>
        <v>1021</v>
      </c>
      <c r="C113" s="8">
        <f t="shared" ca="1" si="10"/>
        <v>2520</v>
      </c>
      <c r="D113" s="8">
        <f t="shared" ca="1" si="11"/>
        <v>20.266666666666666</v>
      </c>
      <c r="E113" s="20">
        <f ca="1">D113/Hypothèses!$B$16</f>
        <v>0.67555555555555558</v>
      </c>
      <c r="F113" s="3"/>
    </row>
    <row r="114" spans="1:6" x14ac:dyDescent="0.2">
      <c r="A114" s="5" t="s">
        <v>115</v>
      </c>
      <c r="B114" s="8">
        <f t="shared" ca="1" si="9"/>
        <v>530</v>
      </c>
      <c r="C114" s="8">
        <f t="shared" ca="1" si="10"/>
        <v>3150</v>
      </c>
      <c r="D114" s="8">
        <f t="shared" ca="1" si="11"/>
        <v>14.9</v>
      </c>
      <c r="E114" s="20">
        <f ca="1">D114/Hypothèses!$B$16</f>
        <v>0.4966666666666667</v>
      </c>
      <c r="F114" s="3"/>
    </row>
    <row r="115" spans="1:6" x14ac:dyDescent="0.2">
      <c r="A115" s="5" t="s">
        <v>117</v>
      </c>
      <c r="B115" s="8">
        <f t="shared" ca="1" si="9"/>
        <v>1465</v>
      </c>
      <c r="C115" s="8">
        <f t="shared" ca="1" si="10"/>
        <v>3243</v>
      </c>
      <c r="D115" s="8">
        <f t="shared" ca="1" si="11"/>
        <v>51.900000000000006</v>
      </c>
      <c r="E115" s="20">
        <f ca="1">D115/Hypothèses!$B$16</f>
        <v>1.7300000000000002</v>
      </c>
      <c r="F115" s="3"/>
    </row>
    <row r="116" spans="1:6" x14ac:dyDescent="0.2">
      <c r="A116" s="17" t="s">
        <v>127</v>
      </c>
      <c r="B116" s="8">
        <f t="shared" ca="1" si="9"/>
        <v>425.4</v>
      </c>
      <c r="C116" s="8">
        <f t="shared" ca="1" si="10"/>
        <v>660</v>
      </c>
      <c r="D116" s="8">
        <f t="shared" ca="1" si="11"/>
        <v>21.060000000000002</v>
      </c>
      <c r="E116" s="20">
        <f ca="1">D116/Hypothèses!$B$16</f>
        <v>0.70200000000000007</v>
      </c>
      <c r="F116" s="3"/>
    </row>
    <row r="117" spans="1:6" x14ac:dyDescent="0.2">
      <c r="A117" s="17" t="s">
        <v>138</v>
      </c>
      <c r="B117" s="8">
        <f t="shared" ca="1" si="9"/>
        <v>211.25</v>
      </c>
      <c r="C117" s="8">
        <f t="shared" ca="1" si="10"/>
        <v>483.75</v>
      </c>
      <c r="D117" s="8">
        <f t="shared" ca="1" si="11"/>
        <v>7.1875</v>
      </c>
      <c r="E117" s="20">
        <f ca="1">D117/Hypothèses!$B$16</f>
        <v>0.23958333333333334</v>
      </c>
      <c r="F117" s="3"/>
    </row>
    <row r="118" spans="1:6" x14ac:dyDescent="0.2">
      <c r="A118" s="5" t="s">
        <v>166</v>
      </c>
      <c r="B118" s="8">
        <f t="shared" ca="1" si="9"/>
        <v>474.66666666666669</v>
      </c>
      <c r="C118" s="8">
        <f t="shared" ca="1" si="10"/>
        <v>500</v>
      </c>
      <c r="D118" s="8">
        <f t="shared" ca="1" si="11"/>
        <v>18.666666666666668</v>
      </c>
      <c r="E118" s="20">
        <f ca="1">D118/Hypothèses!$B$16</f>
        <v>0.62222222222222223</v>
      </c>
      <c r="F118" s="3"/>
    </row>
    <row r="119" spans="1:6" x14ac:dyDescent="0.2">
      <c r="A119" s="17" t="s">
        <v>150</v>
      </c>
      <c r="B119" s="8">
        <f t="shared" ca="1" si="9"/>
        <v>252.28571428571428</v>
      </c>
      <c r="C119" s="8">
        <f t="shared" ca="1" si="10"/>
        <v>635.71428571428567</v>
      </c>
      <c r="D119" s="8">
        <f t="shared" ca="1" si="11"/>
        <v>16.364285714285717</v>
      </c>
      <c r="E119" s="20">
        <f ca="1">D119/Hypothèses!$B$16</f>
        <v>0.54547619047619056</v>
      </c>
      <c r="F119" s="3"/>
    </row>
    <row r="120" spans="1:6" x14ac:dyDescent="0.2">
      <c r="A120" s="5" t="s">
        <v>157</v>
      </c>
      <c r="B120" s="8">
        <f t="shared" ca="1" si="9"/>
        <v>602</v>
      </c>
      <c r="C120" s="8">
        <f t="shared" ca="1" si="10"/>
        <v>1525</v>
      </c>
      <c r="D120" s="8">
        <f t="shared" ca="1" si="11"/>
        <v>20.962499999999999</v>
      </c>
      <c r="E120" s="20">
        <f ca="1">D120/Hypothèses!$B$16</f>
        <v>0.69874999999999998</v>
      </c>
      <c r="F120" s="3"/>
    </row>
    <row r="121" spans="1:6" x14ac:dyDescent="0.2">
      <c r="A121" s="17" t="s">
        <v>172</v>
      </c>
      <c r="B121" s="8">
        <f t="shared" ca="1" si="9"/>
        <v>355.8</v>
      </c>
      <c r="C121" s="8">
        <f t="shared" ca="1" si="10"/>
        <v>370</v>
      </c>
      <c r="D121" s="8">
        <f t="shared" ca="1" si="11"/>
        <v>14.797999999999998</v>
      </c>
      <c r="E121" s="20">
        <f ca="1">D121/Hypothèses!$B$16</f>
        <v>0.49326666666666663</v>
      </c>
      <c r="F121" s="3"/>
    </row>
    <row r="122" spans="1:6" x14ac:dyDescent="0.2">
      <c r="A122" s="5"/>
      <c r="D122" s="15"/>
    </row>
    <row r="123" spans="1:6" x14ac:dyDescent="0.2">
      <c r="A123" s="25" t="s">
        <v>182</v>
      </c>
      <c r="B123" s="25" t="s">
        <v>183</v>
      </c>
      <c r="C123" s="25" t="s">
        <v>184</v>
      </c>
      <c r="D123" s="28" t="s">
        <v>109</v>
      </c>
      <c r="E123" s="29" t="s">
        <v>185</v>
      </c>
    </row>
    <row r="124" spans="1:6" x14ac:dyDescent="0.2">
      <c r="A124" s="5" t="str">
        <f>F45</f>
        <v>poche</v>
      </c>
      <c r="B124" s="8">
        <f t="shared" ref="B124:B131" ca="1" si="12">AVERAGEIF(F$45:H$106,A124,G$45:G$106)</f>
        <v>189.4</v>
      </c>
      <c r="C124" s="8">
        <f t="shared" ref="C124:C131" ca="1" si="13">AVERAGEIF(F$45:H$106,A124,H$45:H$106)</f>
        <v>453.5</v>
      </c>
      <c r="D124" s="8">
        <f t="shared" ref="D124:D131" ca="1" si="14">AVERAGEIF(F$45:I$106,A124,I$45:I$106)</f>
        <v>8.5549999999999997</v>
      </c>
      <c r="E124" s="19">
        <f ca="1">C124/D124</f>
        <v>53.009935710111051</v>
      </c>
      <c r="F124" t="s">
        <v>176</v>
      </c>
    </row>
    <row r="125" spans="1:6" x14ac:dyDescent="0.2">
      <c r="A125" s="5" t="s">
        <v>179</v>
      </c>
      <c r="B125" s="8">
        <f t="shared" ca="1" si="12"/>
        <v>392.78571428571428</v>
      </c>
      <c r="C125" s="8">
        <f t="shared" ca="1" si="13"/>
        <v>628.57142857142856</v>
      </c>
      <c r="D125" s="8">
        <f t="shared" ca="1" si="14"/>
        <v>19.5</v>
      </c>
      <c r="E125" s="19">
        <f t="shared" ref="E125:E131" ca="1" si="15">C125/D125</f>
        <v>32.234432234432234</v>
      </c>
      <c r="F125" t="s">
        <v>179</v>
      </c>
    </row>
    <row r="126" spans="1:6" x14ac:dyDescent="0.2">
      <c r="A126" s="5" t="s">
        <v>177</v>
      </c>
      <c r="B126" s="8">
        <f t="shared" ca="1" si="12"/>
        <v>1007.1428571428571</v>
      </c>
      <c r="C126" s="8">
        <f t="shared" ca="1" si="13"/>
        <v>2070.5</v>
      </c>
      <c r="D126" s="8">
        <f t="shared" ca="1" si="14"/>
        <v>22.442857142857136</v>
      </c>
      <c r="E126" s="30">
        <f t="shared" ca="1" si="15"/>
        <v>92.256524506683675</v>
      </c>
      <c r="F126" t="s">
        <v>177</v>
      </c>
    </row>
    <row r="127" spans="1:6" x14ac:dyDescent="0.2">
      <c r="A127" s="5" t="s">
        <v>178</v>
      </c>
      <c r="B127" s="8">
        <f t="shared" ca="1" si="12"/>
        <v>430</v>
      </c>
      <c r="C127" s="8">
        <f t="shared" ca="1" si="13"/>
        <v>1530</v>
      </c>
      <c r="D127" s="8">
        <f t="shared" ca="1" si="14"/>
        <v>19.899999999999999</v>
      </c>
      <c r="E127" s="19">
        <f t="shared" ca="1" si="15"/>
        <v>76.884422110552762</v>
      </c>
      <c r="F127" t="s">
        <v>178</v>
      </c>
    </row>
    <row r="128" spans="1:6" x14ac:dyDescent="0.2">
      <c r="A128" s="5" t="s">
        <v>181</v>
      </c>
      <c r="B128" s="8">
        <f t="shared" ca="1" si="12"/>
        <v>582.6</v>
      </c>
      <c r="C128" s="8">
        <f t="shared" ca="1" si="13"/>
        <v>1560</v>
      </c>
      <c r="D128" s="8">
        <f t="shared" ca="1" si="14"/>
        <v>19.77</v>
      </c>
      <c r="E128" s="19">
        <f t="shared" ca="1" si="15"/>
        <v>78.907435508345984</v>
      </c>
      <c r="F128" t="s">
        <v>181</v>
      </c>
    </row>
    <row r="129" spans="1:6" x14ac:dyDescent="0.2">
      <c r="A129" s="5" t="str">
        <f>F50</f>
        <v>beau-livre</v>
      </c>
      <c r="B129" s="8">
        <f t="shared" ca="1" si="12"/>
        <v>1465</v>
      </c>
      <c r="C129" s="8">
        <f t="shared" ca="1" si="13"/>
        <v>3243</v>
      </c>
      <c r="D129" s="8">
        <f t="shared" ca="1" si="14"/>
        <v>51.900000000000006</v>
      </c>
      <c r="E129" s="19">
        <f t="shared" ca="1" si="15"/>
        <v>62.485549132947973</v>
      </c>
      <c r="F129" t="s">
        <v>180</v>
      </c>
    </row>
    <row r="130" spans="1:6" x14ac:dyDescent="0.2">
      <c r="A130" s="5" t="str">
        <f>F49</f>
        <v>Livre sonore</v>
      </c>
      <c r="B130" s="8">
        <f t="shared" ca="1" si="12"/>
        <v>530</v>
      </c>
      <c r="C130" s="8">
        <f t="shared" ca="1" si="13"/>
        <v>3150</v>
      </c>
      <c r="D130" s="8">
        <f t="shared" ca="1" si="14"/>
        <v>14.9</v>
      </c>
      <c r="E130" s="30">
        <f t="shared" ca="1" si="15"/>
        <v>211.40939597315435</v>
      </c>
      <c r="F130" t="s">
        <v>115</v>
      </c>
    </row>
    <row r="131" spans="1:6" x14ac:dyDescent="0.2">
      <c r="A131" s="5" t="s">
        <v>187</v>
      </c>
      <c r="B131" s="8">
        <f t="shared" ca="1" si="12"/>
        <v>355.8</v>
      </c>
      <c r="C131" s="8">
        <f t="shared" ca="1" si="13"/>
        <v>370</v>
      </c>
      <c r="D131" s="8">
        <f t="shared" ca="1" si="14"/>
        <v>14.797999999999998</v>
      </c>
      <c r="E131" s="19">
        <f t="shared" ca="1" si="15"/>
        <v>25.003378834977703</v>
      </c>
    </row>
    <row r="132" spans="1:6" x14ac:dyDescent="0.2">
      <c r="B132" s="17"/>
    </row>
    <row r="133" spans="1:6" x14ac:dyDescent="0.2">
      <c r="A133" s="18" t="s">
        <v>137</v>
      </c>
      <c r="B133" s="26" t="s">
        <v>173</v>
      </c>
      <c r="C133" s="25"/>
    </row>
    <row r="134" spans="1:6" x14ac:dyDescent="0.2">
      <c r="A134" s="11" t="s">
        <v>121</v>
      </c>
      <c r="B134" s="24" t="s">
        <v>125</v>
      </c>
      <c r="C134" s="24" t="s">
        <v>126</v>
      </c>
    </row>
    <row r="135" spans="1:6" x14ac:dyDescent="0.2">
      <c r="A135" s="1" t="s">
        <v>122</v>
      </c>
      <c r="B135" s="5">
        <v>3</v>
      </c>
      <c r="C135" s="5">
        <v>20</v>
      </c>
    </row>
    <row r="136" spans="1:6" x14ac:dyDescent="0.2">
      <c r="A136" s="1" t="s">
        <v>123</v>
      </c>
      <c r="B136" s="5">
        <v>5</v>
      </c>
      <c r="C136" s="5">
        <v>40</v>
      </c>
    </row>
    <row r="137" spans="1:6" x14ac:dyDescent="0.2">
      <c r="A137" s="1" t="s">
        <v>124</v>
      </c>
      <c r="B137" s="5">
        <v>8</v>
      </c>
      <c r="C137" s="5">
        <v>70</v>
      </c>
      <c r="F137" t="s">
        <v>137</v>
      </c>
    </row>
  </sheetData>
  <sortState xmlns:xlrd2="http://schemas.microsoft.com/office/spreadsheetml/2017/richdata2" ref="A45:E50">
    <sortCondition ref="D45:D50"/>
  </sortState>
  <mergeCells count="6">
    <mergeCell ref="A108:C108"/>
    <mergeCell ref="B23:D23"/>
    <mergeCell ref="B24:D24"/>
    <mergeCell ref="B25:D25"/>
    <mergeCell ref="B22:D22"/>
    <mergeCell ref="A43:I4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Hypothèses</vt:lpstr>
      <vt:lpstr>Calculs €</vt:lpstr>
      <vt:lpstr>Simul com' distrib</vt:lpstr>
      <vt:lpstr>Calculs CO2</vt:lpstr>
    </vt:vector>
  </TitlesOfParts>
  <Company>Groupe FLAMMARION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Flammarion</dc:creator>
  <cp:lastModifiedBy>Fanny Valembois</cp:lastModifiedBy>
  <cp:lastPrinted>2014-09-09T08:18:23Z</cp:lastPrinted>
  <dcterms:created xsi:type="dcterms:W3CDTF">2011-04-21T09:06:26Z</dcterms:created>
  <dcterms:modified xsi:type="dcterms:W3CDTF">2026-06-17T14:04:20Z</dcterms:modified>
</cp:coreProperties>
</file>