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cup data\Documents\Fanny PRO\PIA4\TCD\"/>
    </mc:Choice>
  </mc:AlternateContent>
  <xr:revisionPtr revIDLastSave="0" documentId="13_ncr:1_{67B4D548-8AB2-4F1E-B413-A7B2AE649A34}" xr6:coauthVersionLast="47" xr6:coauthVersionMax="47" xr10:uidLastSave="{00000000-0000-0000-0000-000000000000}"/>
  <bookViews>
    <workbookView xWindow="-120" yWindow="-120" windowWidth="20730" windowHeight="11160" xr2:uid="{0D572DAE-1129-496B-9385-DE077681CC06}"/>
  </bookViews>
  <sheets>
    <sheet name="SIMULATEUR" sheetId="1" r:id="rId1"/>
    <sheet name="Coût impression tirage long" sheetId="3" r:id="rId2"/>
    <sheet name="Simulation évé imprévus" sheetId="2" r:id="rId3"/>
  </sheets>
  <calcPr calcId="191029" calcOnSave="0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E5" i="1"/>
  <c r="D6" i="1"/>
  <c r="U3" i="1"/>
  <c r="D29" i="1" s="1"/>
  <c r="N4" i="1" l="1"/>
  <c r="M4" i="1"/>
  <c r="M1" i="1" s="1"/>
  <c r="E8" i="1"/>
  <c r="E7" i="1"/>
  <c r="N5" i="1" l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W3" i="1"/>
  <c r="O4" i="1"/>
  <c r="O5" i="1" l="1"/>
  <c r="Q5" i="1" s="1"/>
  <c r="S5" i="1" s="1"/>
  <c r="Q4" i="1"/>
  <c r="R4" i="1" s="1"/>
  <c r="V4" i="1" s="1"/>
  <c r="O6" i="1"/>
  <c r="E29" i="1"/>
  <c r="P4" i="1"/>
  <c r="O7" i="1"/>
  <c r="Q7" i="1" s="1"/>
  <c r="E4" i="1"/>
  <c r="D4" i="1"/>
  <c r="W4" i="1" l="1"/>
  <c r="T4" i="1"/>
  <c r="U4" i="1" s="1"/>
  <c r="R5" i="1"/>
  <c r="S4" i="1"/>
  <c r="P5" i="1"/>
  <c r="P6" i="1" s="1"/>
  <c r="Q6" i="1"/>
  <c r="R7" i="1"/>
  <c r="S7" i="1"/>
  <c r="V5" i="1" l="1"/>
  <c r="E31" i="1" s="1"/>
  <c r="D52" i="1"/>
  <c r="T5" i="1"/>
  <c r="U5" i="1" s="1"/>
  <c r="E30" i="1"/>
  <c r="O8" i="1"/>
  <c r="R6" i="1"/>
  <c r="S6" i="1"/>
  <c r="E52" i="1"/>
  <c r="P7" i="1"/>
  <c r="O9" i="1"/>
  <c r="Q9" i="1" s="1"/>
  <c r="S9" i="1" s="1"/>
  <c r="W5" i="1" l="1"/>
  <c r="V6" i="1" s="1"/>
  <c r="D30" i="1"/>
  <c r="T6" i="1"/>
  <c r="U6" i="1" s="1"/>
  <c r="T7" i="1" s="1"/>
  <c r="Q8" i="1"/>
  <c r="D53" i="1"/>
  <c r="P8" i="1"/>
  <c r="O10" i="1"/>
  <c r="Q10" i="1" s="1"/>
  <c r="S10" i="1" s="1"/>
  <c r="R8" i="1" l="1"/>
  <c r="S8" i="1"/>
  <c r="E53" i="1"/>
  <c r="E32" i="1"/>
  <c r="D31" i="1"/>
  <c r="R9" i="1"/>
  <c r="P9" i="1"/>
  <c r="O11" i="1"/>
  <c r="Q11" i="1" s="1"/>
  <c r="S11" i="1" s="1"/>
  <c r="W6" i="1" l="1"/>
  <c r="V7" i="1" s="1"/>
  <c r="D54" i="1"/>
  <c r="U7" i="1"/>
  <c r="T8" i="1" s="1"/>
  <c r="R10" i="1"/>
  <c r="P10" i="1"/>
  <c r="O12" i="1"/>
  <c r="E33" i="1" l="1"/>
  <c r="E54" i="1"/>
  <c r="D55" i="1"/>
  <c r="D32" i="1"/>
  <c r="U8" i="1"/>
  <c r="T9" i="1" s="1"/>
  <c r="R11" i="1"/>
  <c r="P11" i="1"/>
  <c r="O13" i="1"/>
  <c r="W7" i="1" l="1"/>
  <c r="V8" i="1" s="1"/>
  <c r="D33" i="1"/>
  <c r="Q12" i="1"/>
  <c r="P12" i="1"/>
  <c r="O14" i="1"/>
  <c r="R12" i="1" l="1"/>
  <c r="S12" i="1"/>
  <c r="E34" i="1"/>
  <c r="E55" i="1"/>
  <c r="D56" i="1"/>
  <c r="U9" i="1"/>
  <c r="T10" i="1" s="1"/>
  <c r="O15" i="1"/>
  <c r="Q13" i="1"/>
  <c r="P13" i="1"/>
  <c r="Q14" i="1"/>
  <c r="R14" i="1" l="1"/>
  <c r="S14" i="1"/>
  <c r="R13" i="1"/>
  <c r="S13" i="1"/>
  <c r="W8" i="1"/>
  <c r="V9" i="1" s="1"/>
  <c r="D57" i="1"/>
  <c r="D34" i="1"/>
  <c r="D35" i="1"/>
  <c r="O16" i="1"/>
  <c r="P14" i="1"/>
  <c r="Q15" i="1"/>
  <c r="R15" i="1" l="1"/>
  <c r="S15" i="1"/>
  <c r="E35" i="1"/>
  <c r="E56" i="1"/>
  <c r="U10" i="1"/>
  <c r="T11" i="1" s="1"/>
  <c r="O17" i="1"/>
  <c r="P15" i="1"/>
  <c r="Q16" i="1"/>
  <c r="R16" i="1" l="1"/>
  <c r="S16" i="1"/>
  <c r="W9" i="1"/>
  <c r="V10" i="1" s="1"/>
  <c r="D58" i="1"/>
  <c r="U11" i="1"/>
  <c r="T12" i="1" s="1"/>
  <c r="O18" i="1"/>
  <c r="P16" i="1"/>
  <c r="Q17" i="1"/>
  <c r="R17" i="1" l="1"/>
  <c r="S17" i="1"/>
  <c r="E36" i="1"/>
  <c r="E57" i="1"/>
  <c r="D59" i="1"/>
  <c r="D36" i="1"/>
  <c r="U12" i="1"/>
  <c r="T13" i="1" s="1"/>
  <c r="O19" i="1"/>
  <c r="P17" i="1"/>
  <c r="Q18" i="1"/>
  <c r="R18" i="1" l="1"/>
  <c r="S18" i="1"/>
  <c r="W10" i="1"/>
  <c r="V11" i="1" s="1"/>
  <c r="D60" i="1"/>
  <c r="D37" i="1"/>
  <c r="U13" i="1"/>
  <c r="T14" i="1" s="1"/>
  <c r="O20" i="1"/>
  <c r="P18" i="1"/>
  <c r="Q19" i="1"/>
  <c r="R19" i="1" l="1"/>
  <c r="S19" i="1"/>
  <c r="E58" i="1"/>
  <c r="D38" i="1"/>
  <c r="O21" i="1"/>
  <c r="P19" i="1"/>
  <c r="Q20" i="1"/>
  <c r="R20" i="1" l="1"/>
  <c r="S20" i="1"/>
  <c r="E37" i="1"/>
  <c r="W11" i="1"/>
  <c r="V12" i="1" s="1"/>
  <c r="D61" i="1"/>
  <c r="U14" i="1"/>
  <c r="T15" i="1" s="1"/>
  <c r="O22" i="1"/>
  <c r="P20" i="1"/>
  <c r="Q21" i="1"/>
  <c r="R21" i="1" l="1"/>
  <c r="S21" i="1"/>
  <c r="E38" i="1"/>
  <c r="E59" i="1"/>
  <c r="D39" i="1"/>
  <c r="P21" i="1"/>
  <c r="Q22" i="1"/>
  <c r="O23" i="1" l="1"/>
  <c r="N1" i="1"/>
  <c r="R22" i="1"/>
  <c r="S22" i="1"/>
  <c r="W12" i="1"/>
  <c r="V13" i="1" s="1"/>
  <c r="D62" i="1"/>
  <c r="U15" i="1"/>
  <c r="T16" i="1" s="1"/>
  <c r="P22" i="1"/>
  <c r="Q23" i="1" l="1"/>
  <c r="O1" i="1"/>
  <c r="P23" i="1"/>
  <c r="D18" i="1" s="1"/>
  <c r="E60" i="1"/>
  <c r="D40" i="1"/>
  <c r="Q1" i="1" l="1"/>
  <c r="R23" i="1"/>
  <c r="R1" i="1" s="1"/>
  <c r="S23" i="1"/>
  <c r="S1" i="1" s="1"/>
  <c r="E39" i="1"/>
  <c r="W13" i="1"/>
  <c r="V14" i="1" s="1"/>
  <c r="D63" i="1"/>
  <c r="U16" i="1"/>
  <c r="T17" i="1" s="1"/>
  <c r="E61" i="1" l="1"/>
  <c r="D41" i="1"/>
  <c r="E40" i="1" l="1"/>
  <c r="W14" i="1"/>
  <c r="V15" i="1" s="1"/>
  <c r="D64" i="1"/>
  <c r="U17" i="1"/>
  <c r="T18" i="1" s="1"/>
  <c r="E41" i="1" l="1"/>
  <c r="E62" i="1"/>
  <c r="D42" i="1"/>
  <c r="W15" i="1" l="1"/>
  <c r="V16" i="1" s="1"/>
  <c r="D65" i="1"/>
  <c r="U18" i="1"/>
  <c r="T19" i="1" s="1"/>
  <c r="E63" i="1" l="1"/>
  <c r="E42" i="1"/>
  <c r="D43" i="1"/>
  <c r="W16" i="1" l="1"/>
  <c r="V17" i="1" s="1"/>
  <c r="D66" i="1"/>
  <c r="U19" i="1"/>
  <c r="T20" i="1" s="1"/>
  <c r="E43" i="1" l="1"/>
  <c r="E64" i="1"/>
  <c r="D44" i="1"/>
  <c r="W17" i="1" l="1"/>
  <c r="V18" i="1" s="1"/>
  <c r="D67" i="1"/>
  <c r="U20" i="1"/>
  <c r="T21" i="1" s="1"/>
  <c r="E65" i="1" l="1"/>
  <c r="D45" i="1"/>
  <c r="E44" i="1" l="1"/>
  <c r="W18" i="1"/>
  <c r="V19" i="1" s="1"/>
  <c r="D68" i="1"/>
  <c r="U21" i="1"/>
  <c r="T22" i="1" s="1"/>
  <c r="E66" i="1" l="1"/>
  <c r="E45" i="1"/>
  <c r="D46" i="1"/>
  <c r="W19" i="1" l="1"/>
  <c r="V20" i="1" s="1"/>
  <c r="D69" i="1"/>
  <c r="U22" i="1"/>
  <c r="T23" i="1" s="1"/>
  <c r="E67" i="1" l="1"/>
  <c r="D47" i="1"/>
  <c r="E46" i="1" l="1"/>
  <c r="W20" i="1"/>
  <c r="V21" i="1" s="1"/>
  <c r="D70" i="1"/>
  <c r="U23" i="1"/>
  <c r="D50" i="1" l="1"/>
  <c r="D76" i="1"/>
  <c r="E68" i="1"/>
  <c r="D48" i="1"/>
  <c r="D49" i="1" l="1"/>
  <c r="E47" i="1"/>
  <c r="W21" i="1"/>
  <c r="V22" i="1" s="1"/>
  <c r="D71" i="1"/>
  <c r="D78" i="1" l="1"/>
  <c r="D51" i="1"/>
  <c r="D75" i="1"/>
  <c r="D79" i="1"/>
  <c r="D73" i="1"/>
  <c r="D74" i="1"/>
  <c r="E48" i="1"/>
  <c r="E49" i="1" s="1"/>
  <c r="E69" i="1"/>
  <c r="D77" i="1" l="1"/>
  <c r="D83" i="1"/>
  <c r="E75" i="1"/>
  <c r="E79" i="1"/>
  <c r="W22" i="1"/>
  <c r="V23" i="1" s="1"/>
  <c r="E78" i="1"/>
  <c r="F78" i="1" s="1"/>
  <c r="W23" i="1" l="1"/>
  <c r="E76" i="1" s="1"/>
  <c r="E70" i="1"/>
  <c r="E71" i="1" l="1"/>
  <c r="E73" i="1" s="1"/>
  <c r="E77" i="1" s="1"/>
  <c r="E50" i="1"/>
  <c r="E74" i="1" l="1"/>
  <c r="F74" i="1" s="1"/>
  <c r="E81" i="1"/>
  <c r="E82" i="1" s="1"/>
  <c r="F77" i="1"/>
  <c r="E51" i="1"/>
  <c r="E83" i="1" l="1"/>
  <c r="E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CHENET Aurelie</author>
    <author>PC</author>
  </authors>
  <commentList>
    <comment ref="V2" authorId="0" shapeId="0" xr:uid="{F3428FD6-03BB-4C6C-A8FB-DBC9CC94051C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10 ex min
seuil de réimp: 4 ex. A revoir</t>
        </r>
      </text>
    </comment>
    <comment ref="D5" authorId="1" shapeId="0" xr:uid="{96DAF0F2-4F62-4365-84CA-D5CD7B556810}">
      <text>
        <r>
          <rPr>
            <b/>
            <sz val="9"/>
            <color indexed="81"/>
            <rFont val="Tahoma"/>
            <charset val="1"/>
          </rPr>
          <t>PC:</t>
        </r>
        <r>
          <rPr>
            <sz val="9"/>
            <color indexed="81"/>
            <rFont val="Tahoma"/>
            <charset val="1"/>
          </rPr>
          <t xml:space="preserve">
Ce chiffre peut être modifié si l'utilisateur dispose d'un chiffrage plus précis pour son titre</t>
        </r>
      </text>
    </comment>
    <comment ref="D6" authorId="0" shapeId="0" xr:uid="{E17A27A5-2F5E-42D6-B068-8485701DFCA3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pour une impression à 1500 ex</t>
        </r>
      </text>
    </comment>
    <comment ref="E6" authorId="0" shapeId="0" xr:uid="{F629A9C8-05FF-443F-962A-DA9D17839C80}">
      <text>
        <r>
          <rPr>
            <b/>
            <sz val="9"/>
            <color indexed="81"/>
            <rFont val="Tahoma"/>
            <family val="2"/>
          </rPr>
          <t>CHENET Aurelie:</t>
        </r>
        <r>
          <rPr>
            <sz val="9"/>
            <color indexed="81"/>
            <rFont val="Tahoma"/>
            <family val="2"/>
          </rPr>
          <t xml:space="preserve">
Coût global, transport inclus. Identique que l'on imprime 10 ou 300 exemplaires</t>
        </r>
      </text>
    </comment>
  </commentList>
</comments>
</file>

<file path=xl/sharedStrings.xml><?xml version="1.0" encoding="utf-8"?>
<sst xmlns="http://schemas.openxmlformats.org/spreadsheetml/2006/main" count="122" uniqueCount="105">
  <si>
    <t>Tirage initial en nombre d'exemplaires</t>
  </si>
  <si>
    <t>Nombre moyen d'exemplaires stockés en fin d'année 1</t>
  </si>
  <si>
    <t>Nombre moyen d'exemplaires stockés en fin d'année 2</t>
  </si>
  <si>
    <t>Nombre moyen d'exemplaires stockés en fin d'année 3</t>
  </si>
  <si>
    <t>Nombre moyen d'exemplaires stockés en fin d'année 4</t>
  </si>
  <si>
    <t>Nombre moyen d'exemplaires stockés en fin d'année 5</t>
  </si>
  <si>
    <t>Total des émissions générées par le stockage d'un exemplaire pendant un an</t>
  </si>
  <si>
    <t>kgCO2e.</t>
  </si>
  <si>
    <t>Nombre moyen d'exemplaires stockés en fin d'année 6</t>
  </si>
  <si>
    <t>Nombre moyen d'exemplaires stockés en fin d'année 7</t>
  </si>
  <si>
    <t>Nombre moyen d'exemplaires stockés en fin d'année 8</t>
  </si>
  <si>
    <t>Nombre moyen d'exemplaires stockés en fin d'année 9</t>
  </si>
  <si>
    <t>Nombre moyen d'exemplaires stockés en fin d'année 10</t>
  </si>
  <si>
    <t>Process de tirage long</t>
  </si>
  <si>
    <t>Process de tirage court</t>
  </si>
  <si>
    <t>Réimpression 2</t>
  </si>
  <si>
    <t>Réimpression 3</t>
  </si>
  <si>
    <t>Réimpression 4</t>
  </si>
  <si>
    <t>Réimpression 5</t>
  </si>
  <si>
    <t>Réimpression 6</t>
  </si>
  <si>
    <t>Réimpression 7</t>
  </si>
  <si>
    <t>Réimpression 8</t>
  </si>
  <si>
    <t>Réimpression 9</t>
  </si>
  <si>
    <t>Réimpression 10</t>
  </si>
  <si>
    <t>Ratio ventes / tirage</t>
  </si>
  <si>
    <t>hyp: on imprime avec un objectif de 12 mois de couverture de stock max</t>
  </si>
  <si>
    <t>hyp: 100% des stocks excéd.</t>
  </si>
  <si>
    <t>Soit</t>
  </si>
  <si>
    <t>Etapes non différenciantes</t>
  </si>
  <si>
    <t>Transport imprimeur =&gt; distributeur</t>
  </si>
  <si>
    <t>Transport distributeur =&gt; libraire</t>
  </si>
  <si>
    <t>Type d'impression: numérique ou offset</t>
  </si>
  <si>
    <t>Total impressions</t>
  </si>
  <si>
    <r>
      <t xml:space="preserve">Empreinte carbone de la fabrication d'un livre neuf livré au distributeur </t>
    </r>
    <r>
      <rPr>
        <sz val="8"/>
        <color rgb="FF363636"/>
        <rFont val="Tahoma"/>
        <family val="2"/>
      </rPr>
      <t>(donnée Ademe)</t>
    </r>
  </si>
  <si>
    <t>Hypothèses</t>
  </si>
  <si>
    <t>Taux de pilon sur retour</t>
  </si>
  <si>
    <t>Taux de retour</t>
  </si>
  <si>
    <t>Réimpression 11</t>
  </si>
  <si>
    <t>Réimpression 12</t>
  </si>
  <si>
    <t>Coût des impressions pour l'éditeur</t>
  </si>
  <si>
    <t>Coût REP pilon</t>
  </si>
  <si>
    <r>
      <t xml:space="preserve">Total des émissions générées par le </t>
    </r>
    <r>
      <rPr>
        <b/>
        <sz val="9"/>
        <color rgb="FF363636"/>
        <rFont val="Tahoma"/>
        <family val="2"/>
      </rPr>
      <t>stockage</t>
    </r>
    <r>
      <rPr>
        <sz val="9"/>
        <color rgb="FF363636"/>
        <rFont val="Tahoma"/>
        <family val="2"/>
      </rPr>
      <t xml:space="preserve"> des exemplaires imprimés</t>
    </r>
  </si>
  <si>
    <t>Simulation des ventes</t>
  </si>
  <si>
    <t>MEP</t>
  </si>
  <si>
    <t>Réassort</t>
  </si>
  <si>
    <t>ID Année</t>
  </si>
  <si>
    <t>Coef. Attrition</t>
  </si>
  <si>
    <t>Cumul expédiés depuis parution</t>
  </si>
  <si>
    <t>Total expédiés annuel</t>
  </si>
  <si>
    <t>Nbre d'années de commercialisation</t>
  </si>
  <si>
    <t>Hypothèse Qté réassort A1 / MEP</t>
  </si>
  <si>
    <t>quels sont les critères pour arrêter l'exploitation (à part perte de droits?)</t>
  </si>
  <si>
    <t>ID</t>
  </si>
  <si>
    <t>Réimpression 13</t>
  </si>
  <si>
    <t>Réimpression 14</t>
  </si>
  <si>
    <t>Réimpression 15</t>
  </si>
  <si>
    <t>Réimpression 16</t>
  </si>
  <si>
    <t>Réimpression 17</t>
  </si>
  <si>
    <t>Réimpression 18</t>
  </si>
  <si>
    <t>Réimpression 19</t>
  </si>
  <si>
    <t>hyp: impression en TCD pour couvrir 6 mois de ventes soit 2 réimps dans l'année</t>
  </si>
  <si>
    <t>Nombre moyen d'exemplaires stockés en fin d'année 11</t>
  </si>
  <si>
    <t>Nombre moyen d'exemplaires stockés en fin d'année 12</t>
  </si>
  <si>
    <t>Nombre moyen d'exemplaires stockés en fin d'année 13</t>
  </si>
  <si>
    <t>Nombre moyen d'exemplaires stockés en fin d'année 14</t>
  </si>
  <si>
    <t>Nombre moyen d'exemplaires stockés en fin d'année 15</t>
  </si>
  <si>
    <t>Nombre moyen d'exemplaires stockés en fin d'année 16</t>
  </si>
  <si>
    <t>Nombre moyen d'exemplaires stockés en fin d'année 17</t>
  </si>
  <si>
    <t>Nombre moyen d'exemplaires stockés en fin d'année 18</t>
  </si>
  <si>
    <t>Nombre moyen d'exemplaires stockés en fin d'année 19</t>
  </si>
  <si>
    <t>Nombre moyen d'exemplaires stockés en fin d'année 20</t>
  </si>
  <si>
    <t>Coût de stockage des exemplaires imprimés</t>
  </si>
  <si>
    <t>unité</t>
  </si>
  <si>
    <t>Qté retour</t>
  </si>
  <si>
    <t>%</t>
  </si>
  <si>
    <t>années</t>
  </si>
  <si>
    <t>Réimpression 1</t>
  </si>
  <si>
    <t>Qté finale en stock début année +1</t>
  </si>
  <si>
    <t>Tirage "traditionnel"</t>
  </si>
  <si>
    <t>Tirage Court Dynamique</t>
  </si>
  <si>
    <t>Qté réimprimée</t>
  </si>
  <si>
    <t>euros HT</t>
  </si>
  <si>
    <t>Qté retour réintégrée</t>
  </si>
  <si>
    <t>Qté retour pilonnée</t>
  </si>
  <si>
    <t>Année</t>
  </si>
  <si>
    <t>Taux d'évolution des ventes</t>
  </si>
  <si>
    <t>Tirage initial en "long tirage"</t>
  </si>
  <si>
    <t>Stock minimum déclenchant la réimpression en tirage long</t>
  </si>
  <si>
    <t>Stock minimum déclenchant la réimpression en tirage court</t>
  </si>
  <si>
    <t>Couverture de stock cible des impressions TCD</t>
  </si>
  <si>
    <t>Qté moyenne (min?) réimprimée en "long tirage"</t>
  </si>
  <si>
    <t>Tirage minimum en court tirage</t>
  </si>
  <si>
    <t>Nbre d'ex imprimés</t>
  </si>
  <si>
    <t>Coût d'impression à l'ex (€)</t>
  </si>
  <si>
    <t>Hypothèses d'impression</t>
  </si>
  <si>
    <t>Taux de pilon total (sur stock propre &amp; stock retour)</t>
  </si>
  <si>
    <t>€</t>
  </si>
  <si>
    <r>
      <t xml:space="preserve">Total des émissions générées par les </t>
    </r>
    <r>
      <rPr>
        <b/>
        <sz val="9"/>
        <color rgb="FF363636"/>
        <rFont val="Tahoma"/>
        <family val="2"/>
      </rPr>
      <t>exemplaires fabriqués à perte</t>
    </r>
    <r>
      <rPr>
        <sz val="9"/>
        <color rgb="FF363636"/>
        <rFont val="Tahoma"/>
        <family val="2"/>
      </rPr>
      <t xml:space="preserve"> (pilon sur retour exclu)</t>
    </r>
  </si>
  <si>
    <t>si on fabrique moins on gagne sur la REP (hyp coû totalement fictive ici)</t>
  </si>
  <si>
    <t>Coût de réimpression à l'exemplaire (transport inclus)</t>
  </si>
  <si>
    <t>Nombre d'exemplaires pilonnés en fin de période d'exploitation (pilon des retours inclus)</t>
  </si>
  <si>
    <t>Total des émissions de fabrication + stockage</t>
  </si>
  <si>
    <t>Mise en place</t>
  </si>
  <si>
    <t>émissions liées au pilon et au surstock</t>
  </si>
  <si>
    <t xml:space="preserve">Calculette de calcul des émissions carbone liées au stockage d'ouvrage par les distributeurs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</si>
</sst>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.00\ [$€-40C]_-;\-* #,##0.00\ [$€-40C]_-;_-* &quot;-&quot;??\ [$€-40C]_-;_-@_-"/>
    <numFmt numFmtId="166" formatCode="#,##0.000"/>
    <numFmt numFmtId="167" formatCode="0.0%"/>
    <numFmt numFmtId="168" formatCode="_-* #,##0\ [$€-40C]_-;\-* #,##0\ [$€-40C]_-;_-* &quot;-&quot;??\ [$€-40C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9"/>
      <color rgb="FF363636"/>
      <name val="Tahoma"/>
      <family val="2"/>
    </font>
    <font>
      <sz val="9"/>
      <name val="Tahoma"/>
      <family val="2"/>
    </font>
    <font>
      <i/>
      <sz val="9"/>
      <color theme="1"/>
      <name val="Calibri"/>
      <family val="2"/>
      <scheme val="minor"/>
    </font>
    <font>
      <b/>
      <u/>
      <sz val="10"/>
      <name val="Tahoma"/>
      <family val="2"/>
    </font>
    <font>
      <b/>
      <sz val="9"/>
      <color rgb="FF000000"/>
      <name val="Tahoma"/>
      <family val="2"/>
    </font>
    <font>
      <i/>
      <sz val="9"/>
      <color rgb="FFFF0000"/>
      <name val="Calibri"/>
      <family val="2"/>
      <scheme val="minor"/>
    </font>
    <font>
      <b/>
      <sz val="9"/>
      <color rgb="FF363636"/>
      <name val="Tahoma"/>
      <family val="2"/>
    </font>
    <font>
      <b/>
      <sz val="11"/>
      <color rgb="FF00B0F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b/>
      <u/>
      <sz val="10"/>
      <color theme="3" tint="-0.249977111117893"/>
      <name val="Tahoma"/>
      <family val="2"/>
    </font>
    <font>
      <sz val="9"/>
      <color theme="2"/>
      <name val="Calibri"/>
      <family val="2"/>
      <scheme val="minor"/>
    </font>
    <font>
      <i/>
      <sz val="9"/>
      <color theme="4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Tahoma"/>
      <family val="2"/>
    </font>
    <font>
      <sz val="8"/>
      <color rgb="FFFF000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DCDCDC"/>
      </left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theme="5" tint="0.59996337778862885"/>
      </left>
      <right style="medium">
        <color theme="5" tint="0.59996337778862885"/>
      </right>
      <top style="medium">
        <color theme="5" tint="0.59996337778862885"/>
      </top>
      <bottom style="medium">
        <color theme="5" tint="0.599963377788628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CDCDC"/>
      </left>
      <right style="medium">
        <color rgb="FFDCDCDC"/>
      </right>
      <top/>
      <bottom style="medium">
        <color rgb="FFDCDCDC"/>
      </bottom>
      <diagonal/>
    </border>
    <border>
      <left/>
      <right style="medium">
        <color rgb="FFDCDCDC"/>
      </right>
      <top/>
      <bottom style="medium">
        <color rgb="FFDCDCDC"/>
      </bottom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DCDCDC"/>
      </right>
      <top/>
      <bottom style="medium">
        <color rgb="FFDCDCDC"/>
      </bottom>
      <diagonal/>
    </border>
    <border>
      <left style="medium">
        <color rgb="FFDCDCDC"/>
      </left>
      <right style="medium">
        <color indexed="64"/>
      </right>
      <top/>
      <bottom style="medium">
        <color rgb="FFDCDCDC"/>
      </bottom>
      <diagonal/>
    </border>
    <border>
      <left style="medium">
        <color indexed="64"/>
      </left>
      <right style="medium">
        <color rgb="FFDCDCDC"/>
      </right>
      <top/>
      <bottom style="medium">
        <color indexed="64"/>
      </bottom>
      <diagonal/>
    </border>
    <border>
      <left style="medium">
        <color rgb="FFDCDCDC"/>
      </left>
      <right style="medium">
        <color indexed="64"/>
      </right>
      <top/>
      <bottom style="medium">
        <color indexed="64"/>
      </bottom>
      <diagonal/>
    </border>
    <border>
      <left style="medium">
        <color rgb="FFDCDCDC"/>
      </left>
      <right style="medium">
        <color rgb="FFDCDCDC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2" fontId="0" fillId="0" borderId="0" xfId="0" applyNumberFormat="1"/>
    <xf numFmtId="9" fontId="4" fillId="2" borderId="1" xfId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3" fontId="6" fillId="4" borderId="2" xfId="1" applyNumberFormat="1" applyFont="1" applyFill="1" applyBorder="1"/>
    <xf numFmtId="3" fontId="0" fillId="0" borderId="0" xfId="0" applyNumberFormat="1"/>
    <xf numFmtId="4" fontId="4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5" fillId="5" borderId="1" xfId="0" applyFont="1" applyFill="1" applyBorder="1" applyAlignment="1">
      <alignment horizontal="left" vertical="center" wrapText="1"/>
    </xf>
    <xf numFmtId="0" fontId="8" fillId="0" borderId="0" xfId="0" applyFont="1"/>
    <xf numFmtId="164" fontId="9" fillId="2" borderId="3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left"/>
    </xf>
    <xf numFmtId="165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9" fontId="12" fillId="6" borderId="0" xfId="1" applyFont="1" applyFill="1"/>
    <xf numFmtId="0" fontId="12" fillId="0" borderId="0" xfId="0" applyFont="1" applyAlignment="1">
      <alignment horizontal="right"/>
    </xf>
    <xf numFmtId="166" fontId="9" fillId="2" borderId="3" xfId="0" applyNumberFormat="1" applyFont="1" applyFill="1" applyBorder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0" fontId="13" fillId="0" borderId="0" xfId="0" applyFont="1"/>
    <xf numFmtId="9" fontId="0" fillId="0" borderId="0" xfId="0" applyNumberFormat="1"/>
    <xf numFmtId="4" fontId="0" fillId="0" borderId="0" xfId="0" applyNumberFormat="1"/>
    <xf numFmtId="9" fontId="0" fillId="0" borderId="0" xfId="1" applyFont="1"/>
    <xf numFmtId="0" fontId="5" fillId="3" borderId="0" xfId="0" applyFont="1" applyFill="1" applyAlignment="1">
      <alignment horizontal="left" vertical="center" wrapText="1"/>
    </xf>
    <xf numFmtId="167" fontId="0" fillId="0" borderId="0" xfId="1" applyNumberFormat="1" applyFont="1"/>
    <xf numFmtId="165" fontId="9" fillId="2" borderId="3" xfId="0" applyNumberFormat="1" applyFont="1" applyFill="1" applyBorder="1" applyAlignment="1">
      <alignment horizontal="right" vertical="center"/>
    </xf>
    <xf numFmtId="0" fontId="15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16" fillId="0" borderId="0" xfId="0" applyFont="1"/>
    <xf numFmtId="168" fontId="4" fillId="2" borderId="1" xfId="0" applyNumberFormat="1" applyFont="1" applyFill="1" applyBorder="1" applyAlignment="1">
      <alignment horizontal="right" vertical="center"/>
    </xf>
    <xf numFmtId="0" fontId="0" fillId="0" borderId="5" xfId="0" applyBorder="1"/>
    <xf numFmtId="9" fontId="6" fillId="4" borderId="2" xfId="1" applyFont="1" applyFill="1" applyBorder="1"/>
    <xf numFmtId="0" fontId="5" fillId="0" borderId="0" xfId="0" applyFont="1" applyAlignment="1">
      <alignment horizontal="left" vertical="center" wrapText="1"/>
    </xf>
    <xf numFmtId="9" fontId="9" fillId="0" borderId="0" xfId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wrapText="1"/>
    </xf>
    <xf numFmtId="3" fontId="4" fillId="2" borderId="8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4" fillId="3" borderId="1" xfId="0" applyFont="1" applyFill="1" applyBorder="1" applyAlignment="1">
      <alignment horizontal="left" vertical="center" wrapText="1"/>
    </xf>
    <xf numFmtId="3" fontId="9" fillId="2" borderId="7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0" fontId="0" fillId="8" borderId="0" xfId="0" applyFill="1"/>
    <xf numFmtId="9" fontId="0" fillId="0" borderId="5" xfId="0" applyNumberFormat="1" applyBorder="1"/>
    <xf numFmtId="3" fontId="6" fillId="4" borderId="0" xfId="1" applyNumberFormat="1" applyFont="1" applyFill="1" applyBorder="1"/>
    <xf numFmtId="0" fontId="0" fillId="0" borderId="9" xfId="0" applyBorder="1" applyAlignment="1">
      <alignment wrapText="1"/>
    </xf>
    <xf numFmtId="3" fontId="4" fillId="2" borderId="10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 vertical="center"/>
    </xf>
    <xf numFmtId="164" fontId="6" fillId="4" borderId="2" xfId="1" applyNumberFormat="1" applyFont="1" applyFill="1" applyBorder="1"/>
    <xf numFmtId="0" fontId="5" fillId="3" borderId="19" xfId="0" applyFont="1" applyFill="1" applyBorder="1" applyAlignment="1">
      <alignment horizontal="left" vertical="center" wrapText="1"/>
    </xf>
    <xf numFmtId="165" fontId="6" fillId="4" borderId="2" xfId="1" applyNumberFormat="1" applyFont="1" applyFill="1" applyBorder="1"/>
    <xf numFmtId="9" fontId="7" fillId="0" borderId="0" xfId="1" applyFont="1"/>
    <xf numFmtId="0" fontId="21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165" fontId="21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29E1-5853-4A7B-9ACB-0A2EA7A03B86}">
  <dimension ref="A1:AS89"/>
  <sheetViews>
    <sheetView showGridLines="0" tabSelected="1" zoomScale="90" zoomScaleNormal="90" workbookViewId="0">
      <selection activeCell="G3" sqref="G3"/>
    </sheetView>
  </sheetViews>
  <sheetFormatPr baseColWidth="10" defaultRowHeight="15" outlineLevelRow="1" outlineLevelCol="1" x14ac:dyDescent="0.25"/>
  <cols>
    <col min="1" max="1" width="4.140625" customWidth="1"/>
    <col min="2" max="2" width="63.42578125" customWidth="1"/>
    <col min="3" max="3" width="7.42578125" customWidth="1"/>
    <col min="14" max="15" width="17.42578125" customWidth="1"/>
    <col min="16" max="16" width="19.42578125" customWidth="1" outlineLevel="1"/>
    <col min="17" max="17" width="14.85546875" customWidth="1"/>
    <col min="18" max="19" width="14.140625" customWidth="1"/>
    <col min="20" max="20" width="17.85546875" customWidth="1"/>
    <col min="21" max="21" width="18" customWidth="1"/>
    <col min="22" max="23" width="19.85546875" customWidth="1"/>
    <col min="25" max="25" width="27.140625" customWidth="1"/>
    <col min="26" max="26" width="9.85546875" customWidth="1"/>
    <col min="28" max="28" width="8.42578125" customWidth="1"/>
  </cols>
  <sheetData>
    <row r="1" spans="2:45" x14ac:dyDescent="0.25">
      <c r="B1" s="10" t="s">
        <v>104</v>
      </c>
      <c r="C1" s="10"/>
      <c r="H1" s="45"/>
      <c r="I1" s="45"/>
      <c r="M1" s="6">
        <f>SUM(M4:M23)</f>
        <v>800</v>
      </c>
      <c r="N1" s="6">
        <f>SUM(N4:N23)</f>
        <v>1351.1905415661049</v>
      </c>
      <c r="O1" s="6">
        <f>SUM(O4:O23)</f>
        <v>2151.190541566104</v>
      </c>
      <c r="P1" s="6"/>
      <c r="Q1" s="6">
        <f>SUM(Q4:Q23)</f>
        <v>323</v>
      </c>
      <c r="R1" s="6">
        <f>SUM(R4:R23)</f>
        <v>129</v>
      </c>
      <c r="S1" s="6">
        <f>SUM(S4:S23)</f>
        <v>194</v>
      </c>
      <c r="T1" s="64" t="s">
        <v>78</v>
      </c>
      <c r="U1" s="65"/>
      <c r="V1" s="64" t="s">
        <v>79</v>
      </c>
      <c r="W1" s="65"/>
    </row>
    <row r="2" spans="2:45" ht="30.75" thickBot="1" x14ac:dyDescent="0.3">
      <c r="L2" s="33" t="s">
        <v>45</v>
      </c>
      <c r="M2" s="33" t="s">
        <v>43</v>
      </c>
      <c r="N2" s="38" t="s">
        <v>44</v>
      </c>
      <c r="O2" s="38" t="s">
        <v>48</v>
      </c>
      <c r="P2" s="38" t="s">
        <v>47</v>
      </c>
      <c r="Q2" s="38" t="s">
        <v>73</v>
      </c>
      <c r="R2" s="38" t="s">
        <v>82</v>
      </c>
      <c r="S2" s="48" t="s">
        <v>83</v>
      </c>
      <c r="T2" s="50" t="s">
        <v>80</v>
      </c>
      <c r="U2" s="51" t="s">
        <v>77</v>
      </c>
      <c r="V2" s="50" t="s">
        <v>80</v>
      </c>
      <c r="W2" s="51" t="s">
        <v>77</v>
      </c>
    </row>
    <row r="3" spans="2:45" ht="23.25" thickBot="1" x14ac:dyDescent="0.3">
      <c r="B3" s="29" t="s">
        <v>34</v>
      </c>
      <c r="C3" s="29" t="s">
        <v>72</v>
      </c>
      <c r="D3" s="9" t="s">
        <v>13</v>
      </c>
      <c r="E3" s="9" t="s">
        <v>14</v>
      </c>
      <c r="L3" s="33">
        <v>0</v>
      </c>
      <c r="M3" s="37"/>
      <c r="N3" s="37"/>
      <c r="O3" s="37"/>
      <c r="P3" s="37"/>
      <c r="Q3" s="37"/>
      <c r="R3" s="37"/>
      <c r="S3" s="49"/>
      <c r="T3" s="52"/>
      <c r="U3" s="53">
        <f>$D$23</f>
        <v>1500</v>
      </c>
      <c r="V3" s="52"/>
      <c r="W3" s="53">
        <f>$M$4+$N$4</f>
        <v>1040</v>
      </c>
    </row>
    <row r="4" spans="2:45" ht="15.75" thickBot="1" x14ac:dyDescent="0.3">
      <c r="B4" s="4" t="s">
        <v>6</v>
      </c>
      <c r="C4" s="42" t="s">
        <v>7</v>
      </c>
      <c r="D4" s="19">
        <f>22/1000</f>
        <v>2.1999999999999999E-2</v>
      </c>
      <c r="E4" s="19">
        <f>22/1000</f>
        <v>2.1999999999999999E-2</v>
      </c>
      <c r="F4" s="8"/>
      <c r="L4" s="33">
        <v>1</v>
      </c>
      <c r="M4" s="43">
        <f>$D$14</f>
        <v>800</v>
      </c>
      <c r="N4" s="44">
        <f>$D$15*$D$14</f>
        <v>240</v>
      </c>
      <c r="O4" s="37">
        <f>M4+N4</f>
        <v>1040</v>
      </c>
      <c r="P4" s="37">
        <f>O4</f>
        <v>1040</v>
      </c>
      <c r="Q4" s="37">
        <f t="shared" ref="Q4:Q11" si="0">ROUND($D$7*O4,0)</f>
        <v>156</v>
      </c>
      <c r="R4" s="37">
        <f>ROUND((1-$D$8)*Q4,0)</f>
        <v>62</v>
      </c>
      <c r="S4" s="49">
        <f>ROUND($D$8*Q4,0)</f>
        <v>94</v>
      </c>
      <c r="T4" s="52">
        <f t="shared" ref="T4:T23" si="1">ROUND(IF((U3-$O4+$R4)&gt;$D$24,0,$D$22),0)</f>
        <v>0</v>
      </c>
      <c r="U4" s="53">
        <f>$U3-$O4+$R4+$T4</f>
        <v>522</v>
      </c>
      <c r="V4" s="52">
        <f t="shared" ref="V4:V23" si="2">ROUND(IF((W3-$O4+$R4)&gt;MAX((N4/6),$D$26),0,MAX($D$25,$E$9*$O4)),0)</f>
        <v>0</v>
      </c>
      <c r="W4" s="53">
        <f>W3-O4+R4+V4</f>
        <v>62</v>
      </c>
      <c r="Y4" s="33" t="s">
        <v>84</v>
      </c>
      <c r="Z4" s="33">
        <v>1</v>
      </c>
      <c r="AA4" s="33">
        <v>2</v>
      </c>
      <c r="AB4" s="33">
        <v>3</v>
      </c>
      <c r="AC4" s="33">
        <v>4</v>
      </c>
      <c r="AD4" s="33">
        <v>5</v>
      </c>
      <c r="AE4" s="33">
        <v>6</v>
      </c>
      <c r="AF4" s="33">
        <v>7</v>
      </c>
      <c r="AG4" s="33">
        <v>8</v>
      </c>
      <c r="AH4" s="33">
        <v>9</v>
      </c>
      <c r="AI4" s="33">
        <v>10</v>
      </c>
      <c r="AJ4" s="33">
        <v>11</v>
      </c>
      <c r="AK4" s="33">
        <v>12</v>
      </c>
      <c r="AL4" s="33">
        <v>13</v>
      </c>
      <c r="AM4" s="33">
        <v>14</v>
      </c>
      <c r="AN4" s="33">
        <v>15</v>
      </c>
      <c r="AO4" s="33">
        <v>16</v>
      </c>
      <c r="AP4" s="33">
        <v>17</v>
      </c>
      <c r="AQ4" s="33">
        <v>18</v>
      </c>
      <c r="AR4" s="33">
        <v>19</v>
      </c>
      <c r="AS4" s="33">
        <v>20</v>
      </c>
    </row>
    <row r="5" spans="2:45" ht="22.5" thickBot="1" x14ac:dyDescent="0.3">
      <c r="B5" s="4" t="s">
        <v>33</v>
      </c>
      <c r="C5" s="42" t="s">
        <v>7</v>
      </c>
      <c r="D5" s="11">
        <v>0.6</v>
      </c>
      <c r="E5" s="20">
        <f>D5</f>
        <v>0.6</v>
      </c>
      <c r="F5" s="8"/>
      <c r="L5" s="33">
        <v>2</v>
      </c>
      <c r="M5" s="39"/>
      <c r="N5" s="37">
        <f>IF((HLOOKUP($L5,$Z$4:$AS$5,2,FALSE))="",(1-$D$16)*N4,HLOOKUP($L5,$Z$4:$AS$5,2,FALSE)*N4+N4)</f>
        <v>228</v>
      </c>
      <c r="O5" s="37">
        <f t="shared" ref="O5:O23" si="3">M5+N5</f>
        <v>228</v>
      </c>
      <c r="P5" s="3">
        <f t="shared" ref="P5:P23" si="4">O5+P4</f>
        <v>1268</v>
      </c>
      <c r="Q5" s="37">
        <f t="shared" si="0"/>
        <v>34</v>
      </c>
      <c r="R5" s="37">
        <f>ROUND((1-$D$8)*Q5,0)</f>
        <v>14</v>
      </c>
      <c r="S5" s="49">
        <f t="shared" ref="S5:S23" si="5">ROUND($D$8*Q5,0)</f>
        <v>20</v>
      </c>
      <c r="T5" s="52">
        <f t="shared" si="1"/>
        <v>0</v>
      </c>
      <c r="U5" s="53">
        <f t="shared" ref="U5:U23" si="6">$U4-$O5+$R5+$T5</f>
        <v>308</v>
      </c>
      <c r="V5" s="52">
        <f t="shared" si="2"/>
        <v>228</v>
      </c>
      <c r="W5" s="53">
        <f>W4-O5+R5+V5</f>
        <v>76</v>
      </c>
      <c r="Y5" s="33" t="s">
        <v>85</v>
      </c>
      <c r="Z5" s="46"/>
      <c r="AA5" s="46"/>
      <c r="AB5" s="46"/>
      <c r="AC5" s="33"/>
      <c r="AD5" s="46">
        <v>-0.8</v>
      </c>
      <c r="AE5" s="46"/>
      <c r="AF5" s="46"/>
      <c r="AG5" s="33"/>
      <c r="AH5" s="33"/>
      <c r="AI5" s="33"/>
      <c r="AJ5" s="46"/>
      <c r="AK5" s="33"/>
      <c r="AL5" s="33"/>
      <c r="AM5" s="33"/>
      <c r="AN5" s="46"/>
      <c r="AO5" s="33"/>
      <c r="AP5" s="33"/>
      <c r="AQ5" s="33"/>
      <c r="AR5" s="33"/>
      <c r="AS5" s="33"/>
    </row>
    <row r="6" spans="2:45" ht="15.75" thickBot="1" x14ac:dyDescent="0.3">
      <c r="B6" s="4" t="s">
        <v>99</v>
      </c>
      <c r="C6" s="42" t="s">
        <v>81</v>
      </c>
      <c r="D6" s="58">
        <f>VLOOKUP($D$22,'Coût impression tirage long'!$A$2:$B$10,2,FALSE)</f>
        <v>1.25</v>
      </c>
      <c r="E6" s="28">
        <v>1.66</v>
      </c>
      <c r="F6" s="15"/>
      <c r="G6" s="25"/>
      <c r="K6" s="25"/>
      <c r="L6" s="33">
        <v>3</v>
      </c>
      <c r="M6" s="39"/>
      <c r="N6" s="37">
        <f t="shared" ref="N6:N23" si="7">IF((HLOOKUP($L6,$Z$4:$AS$5,2,FALSE))="",(1-$D$16)*N5,HLOOKUP($L6,$Z$4:$AS$5,2,FALSE)*N5+N5)</f>
        <v>216.6</v>
      </c>
      <c r="O6" s="37">
        <f t="shared" si="3"/>
        <v>216.6</v>
      </c>
      <c r="P6" s="3">
        <f t="shared" si="4"/>
        <v>1484.6</v>
      </c>
      <c r="Q6" s="37">
        <f t="shared" si="0"/>
        <v>32</v>
      </c>
      <c r="R6" s="37">
        <f>ROUND((1-$D$8)*Q6,0)</f>
        <v>13</v>
      </c>
      <c r="S6" s="49">
        <f t="shared" si="5"/>
        <v>19</v>
      </c>
      <c r="T6" s="52">
        <f t="shared" si="1"/>
        <v>0</v>
      </c>
      <c r="U6" s="53">
        <f t="shared" si="6"/>
        <v>104.4</v>
      </c>
      <c r="V6" s="52">
        <f t="shared" si="2"/>
        <v>217</v>
      </c>
      <c r="W6" s="53">
        <f t="shared" ref="W6:W23" si="8">W5-O6+R6+V6</f>
        <v>89.4</v>
      </c>
    </row>
    <row r="7" spans="2:45" ht="15.75" thickBot="1" x14ac:dyDescent="0.3">
      <c r="B7" s="4" t="s">
        <v>36</v>
      </c>
      <c r="C7" s="42" t="s">
        <v>74</v>
      </c>
      <c r="D7" s="34">
        <v>0.15</v>
      </c>
      <c r="E7" s="2">
        <f>D7</f>
        <v>0.15</v>
      </c>
      <c r="F7" s="41"/>
      <c r="G7" s="25"/>
      <c r="L7" s="33">
        <v>4</v>
      </c>
      <c r="M7" s="39"/>
      <c r="N7" s="37">
        <f t="shared" si="7"/>
        <v>205.76999999999998</v>
      </c>
      <c r="O7" s="37">
        <f t="shared" si="3"/>
        <v>205.76999999999998</v>
      </c>
      <c r="P7" s="3">
        <f t="shared" si="4"/>
        <v>1690.37</v>
      </c>
      <c r="Q7" s="37">
        <f t="shared" si="0"/>
        <v>31</v>
      </c>
      <c r="R7" s="37">
        <f>ROUND((1-$D$8)*Q7,0)</f>
        <v>12</v>
      </c>
      <c r="S7" s="49">
        <f t="shared" si="5"/>
        <v>19</v>
      </c>
      <c r="T7" s="52">
        <f t="shared" si="1"/>
        <v>1000</v>
      </c>
      <c r="U7" s="53">
        <f t="shared" si="6"/>
        <v>910.63</v>
      </c>
      <c r="V7" s="52">
        <f t="shared" si="2"/>
        <v>206</v>
      </c>
      <c r="W7" s="53">
        <f t="shared" si="8"/>
        <v>101.63000000000002</v>
      </c>
    </row>
    <row r="8" spans="2:45" ht="15.75" thickBot="1" x14ac:dyDescent="0.3">
      <c r="B8" s="4" t="s">
        <v>35</v>
      </c>
      <c r="C8" s="42" t="s">
        <v>74</v>
      </c>
      <c r="D8" s="34">
        <v>0.6</v>
      </c>
      <c r="E8" s="2">
        <f>D8</f>
        <v>0.6</v>
      </c>
      <c r="F8" s="41"/>
      <c r="G8" s="25"/>
      <c r="L8" s="33">
        <v>5</v>
      </c>
      <c r="M8" s="39"/>
      <c r="N8" s="37">
        <f t="shared" si="7"/>
        <v>41.153999999999996</v>
      </c>
      <c r="O8" s="37">
        <f t="shared" si="3"/>
        <v>41.153999999999996</v>
      </c>
      <c r="P8" s="3">
        <f t="shared" si="4"/>
        <v>1731.5239999999999</v>
      </c>
      <c r="Q8" s="37">
        <f t="shared" si="0"/>
        <v>6</v>
      </c>
      <c r="R8" s="37">
        <f>ROUND((1-$D$8)*Q8,0)</f>
        <v>2</v>
      </c>
      <c r="S8" s="49">
        <f t="shared" si="5"/>
        <v>4</v>
      </c>
      <c r="T8" s="52">
        <f t="shared" si="1"/>
        <v>0</v>
      </c>
      <c r="U8" s="53">
        <f t="shared" si="6"/>
        <v>871.476</v>
      </c>
      <c r="V8" s="52">
        <f t="shared" si="2"/>
        <v>0</v>
      </c>
      <c r="W8" s="53">
        <f t="shared" si="8"/>
        <v>62.476000000000028</v>
      </c>
    </row>
    <row r="9" spans="2:45" ht="15.75" thickBot="1" x14ac:dyDescent="0.3">
      <c r="B9" s="4" t="s">
        <v>89</v>
      </c>
      <c r="C9" s="42" t="s">
        <v>75</v>
      </c>
      <c r="D9" s="42"/>
      <c r="E9" s="56">
        <v>1</v>
      </c>
      <c r="F9" s="35"/>
      <c r="G9" s="35"/>
      <c r="L9" s="33">
        <v>6</v>
      </c>
      <c r="M9" s="39"/>
      <c r="N9" s="37">
        <f t="shared" si="7"/>
        <v>39.096299999999992</v>
      </c>
      <c r="O9" s="37">
        <f t="shared" si="3"/>
        <v>39.096299999999992</v>
      </c>
      <c r="P9" s="3">
        <f t="shared" si="4"/>
        <v>1770.6202999999998</v>
      </c>
      <c r="Q9" s="37">
        <f t="shared" si="0"/>
        <v>6</v>
      </c>
      <c r="R9" s="37">
        <f t="shared" ref="R9:R23" si="9">ROUND((1-$D$8)*Q9,0)</f>
        <v>2</v>
      </c>
      <c r="S9" s="49">
        <f t="shared" si="5"/>
        <v>4</v>
      </c>
      <c r="T9" s="52">
        <f t="shared" si="1"/>
        <v>0</v>
      </c>
      <c r="U9" s="53">
        <f t="shared" si="6"/>
        <v>834.37969999999996</v>
      </c>
      <c r="V9" s="52">
        <f t="shared" si="2"/>
        <v>0</v>
      </c>
      <c r="W9" s="53">
        <f t="shared" si="8"/>
        <v>25.379700000000035</v>
      </c>
    </row>
    <row r="10" spans="2:45" ht="15.75" thickBot="1" x14ac:dyDescent="0.3">
      <c r="B10" s="35"/>
      <c r="C10" s="35"/>
      <c r="D10" s="35"/>
      <c r="E10" s="35"/>
      <c r="F10" s="15"/>
      <c r="G10" s="25"/>
      <c r="L10" s="33">
        <v>7</v>
      </c>
      <c r="M10" s="39"/>
      <c r="N10" s="37">
        <f t="shared" si="7"/>
        <v>37.141484999999989</v>
      </c>
      <c r="O10" s="37">
        <f t="shared" si="3"/>
        <v>37.141484999999989</v>
      </c>
      <c r="P10" s="3">
        <f t="shared" si="4"/>
        <v>1807.7617849999997</v>
      </c>
      <c r="Q10" s="37">
        <f t="shared" si="0"/>
        <v>6</v>
      </c>
      <c r="R10" s="37">
        <f t="shared" si="9"/>
        <v>2</v>
      </c>
      <c r="S10" s="49">
        <f t="shared" si="5"/>
        <v>4</v>
      </c>
      <c r="T10" s="52">
        <f t="shared" si="1"/>
        <v>0</v>
      </c>
      <c r="U10" s="53">
        <f t="shared" si="6"/>
        <v>799.23821499999997</v>
      </c>
      <c r="V10" s="52">
        <f t="shared" si="2"/>
        <v>37</v>
      </c>
      <c r="W10" s="53">
        <f t="shared" si="8"/>
        <v>27.238215000000046</v>
      </c>
    </row>
    <row r="11" spans="2:45" ht="15.75" thickBot="1" x14ac:dyDescent="0.3">
      <c r="B11" s="35"/>
      <c r="C11" s="35"/>
      <c r="D11" s="36"/>
      <c r="E11" s="36"/>
      <c r="F11" s="15"/>
      <c r="G11" s="25"/>
      <c r="L11" s="33">
        <v>8</v>
      </c>
      <c r="M11" s="39"/>
      <c r="N11" s="37">
        <f t="shared" si="7"/>
        <v>35.284410749999985</v>
      </c>
      <c r="O11" s="37">
        <f t="shared" si="3"/>
        <v>35.284410749999985</v>
      </c>
      <c r="P11" s="3">
        <f t="shared" si="4"/>
        <v>1843.0461957499997</v>
      </c>
      <c r="Q11" s="37">
        <f t="shared" si="0"/>
        <v>5</v>
      </c>
      <c r="R11" s="37">
        <f t="shared" si="9"/>
        <v>2</v>
      </c>
      <c r="S11" s="49">
        <f t="shared" si="5"/>
        <v>3</v>
      </c>
      <c r="T11" s="52">
        <f t="shared" si="1"/>
        <v>0</v>
      </c>
      <c r="U11" s="53">
        <f t="shared" si="6"/>
        <v>765.95380424999996</v>
      </c>
      <c r="V11" s="52">
        <f t="shared" si="2"/>
        <v>35</v>
      </c>
      <c r="W11" s="53">
        <f t="shared" si="8"/>
        <v>28.953804250000061</v>
      </c>
    </row>
    <row r="12" spans="2:45" ht="15.75" thickBot="1" x14ac:dyDescent="0.3">
      <c r="D12" s="36"/>
      <c r="E12" s="36"/>
      <c r="F12" s="15"/>
      <c r="G12" s="25"/>
      <c r="L12" s="33">
        <v>9</v>
      </c>
      <c r="M12" s="39"/>
      <c r="N12" s="37">
        <f t="shared" si="7"/>
        <v>33.520190212499983</v>
      </c>
      <c r="O12" s="37">
        <f t="shared" si="3"/>
        <v>33.520190212499983</v>
      </c>
      <c r="P12" s="3">
        <f t="shared" si="4"/>
        <v>1876.5663859624997</v>
      </c>
      <c r="Q12" s="37">
        <f t="shared" ref="Q12:Q23" si="10">ROUND($D$7*O12,0)</f>
        <v>5</v>
      </c>
      <c r="R12" s="37">
        <f t="shared" si="9"/>
        <v>2</v>
      </c>
      <c r="S12" s="49">
        <f t="shared" si="5"/>
        <v>3</v>
      </c>
      <c r="T12" s="52">
        <f t="shared" si="1"/>
        <v>0</v>
      </c>
      <c r="U12" s="53">
        <f t="shared" si="6"/>
        <v>734.43361403749998</v>
      </c>
      <c r="V12" s="52">
        <f t="shared" si="2"/>
        <v>34</v>
      </c>
      <c r="W12" s="53">
        <f t="shared" si="8"/>
        <v>31.433614037500078</v>
      </c>
    </row>
    <row r="13" spans="2:45" ht="15.75" thickBot="1" x14ac:dyDescent="0.3">
      <c r="B13" s="29" t="s">
        <v>42</v>
      </c>
      <c r="C13" s="29"/>
      <c r="D13" s="36"/>
      <c r="E13" s="36"/>
      <c r="F13" s="15"/>
      <c r="G13" s="25"/>
      <c r="L13" s="33">
        <v>10</v>
      </c>
      <c r="M13" s="39"/>
      <c r="N13" s="37">
        <f t="shared" si="7"/>
        <v>31.844180701874983</v>
      </c>
      <c r="O13" s="37">
        <f t="shared" si="3"/>
        <v>31.844180701874983</v>
      </c>
      <c r="P13" s="3">
        <f t="shared" si="4"/>
        <v>1908.4105666643748</v>
      </c>
      <c r="Q13" s="37">
        <f t="shared" si="10"/>
        <v>5</v>
      </c>
      <c r="R13" s="37">
        <f t="shared" si="9"/>
        <v>2</v>
      </c>
      <c r="S13" s="49">
        <f t="shared" si="5"/>
        <v>3</v>
      </c>
      <c r="T13" s="52">
        <f t="shared" si="1"/>
        <v>0</v>
      </c>
      <c r="U13" s="53">
        <f t="shared" si="6"/>
        <v>704.58943333562502</v>
      </c>
      <c r="V13" s="52">
        <f t="shared" si="2"/>
        <v>32</v>
      </c>
      <c r="W13" s="53">
        <f t="shared" si="8"/>
        <v>33.589433335625095</v>
      </c>
    </row>
    <row r="14" spans="2:45" ht="15.75" thickBot="1" x14ac:dyDescent="0.3">
      <c r="B14" s="4" t="s">
        <v>102</v>
      </c>
      <c r="C14" s="42"/>
      <c r="D14" s="5">
        <v>800</v>
      </c>
      <c r="E14" s="36"/>
      <c r="F14" s="15"/>
      <c r="G14" s="25"/>
      <c r="L14" s="33">
        <v>11</v>
      </c>
      <c r="M14" s="39"/>
      <c r="N14" s="37">
        <f t="shared" si="7"/>
        <v>30.251971666781234</v>
      </c>
      <c r="O14" s="37">
        <f t="shared" si="3"/>
        <v>30.251971666781234</v>
      </c>
      <c r="P14" s="3">
        <f t="shared" si="4"/>
        <v>1938.6625383311559</v>
      </c>
      <c r="Q14" s="37">
        <f t="shared" si="10"/>
        <v>5</v>
      </c>
      <c r="R14" s="37">
        <f t="shared" si="9"/>
        <v>2</v>
      </c>
      <c r="S14" s="49">
        <f t="shared" si="5"/>
        <v>3</v>
      </c>
      <c r="T14" s="52">
        <f t="shared" si="1"/>
        <v>0</v>
      </c>
      <c r="U14" s="53">
        <f t="shared" si="6"/>
        <v>676.33746166884373</v>
      </c>
      <c r="V14" s="52">
        <f t="shared" si="2"/>
        <v>0</v>
      </c>
      <c r="W14" s="53">
        <f t="shared" si="8"/>
        <v>5.3374616688438614</v>
      </c>
    </row>
    <row r="15" spans="2:45" ht="15.75" thickBot="1" x14ac:dyDescent="0.3">
      <c r="B15" s="4" t="s">
        <v>50</v>
      </c>
      <c r="C15" s="42"/>
      <c r="D15" s="34">
        <v>0.3</v>
      </c>
      <c r="E15" s="36"/>
      <c r="F15" s="15"/>
      <c r="G15" s="25"/>
      <c r="L15" s="33">
        <v>12</v>
      </c>
      <c r="M15" s="39"/>
      <c r="N15" s="37">
        <f t="shared" si="7"/>
        <v>28.739373083442171</v>
      </c>
      <c r="O15" s="37">
        <f t="shared" si="3"/>
        <v>28.739373083442171</v>
      </c>
      <c r="P15" s="3">
        <f t="shared" si="4"/>
        <v>1967.4019114145981</v>
      </c>
      <c r="Q15" s="37">
        <f t="shared" si="10"/>
        <v>4</v>
      </c>
      <c r="R15" s="37">
        <f t="shared" si="9"/>
        <v>2</v>
      </c>
      <c r="S15" s="49">
        <f t="shared" si="5"/>
        <v>2</v>
      </c>
      <c r="T15" s="52">
        <f t="shared" si="1"/>
        <v>0</v>
      </c>
      <c r="U15" s="53">
        <f t="shared" si="6"/>
        <v>649.59808858540157</v>
      </c>
      <c r="V15" s="52">
        <f t="shared" si="2"/>
        <v>29</v>
      </c>
      <c r="W15" s="53">
        <f t="shared" si="8"/>
        <v>7.5980885854016904</v>
      </c>
    </row>
    <row r="16" spans="2:45" ht="15.75" thickBot="1" x14ac:dyDescent="0.3">
      <c r="B16" s="4" t="s">
        <v>46</v>
      </c>
      <c r="C16" s="42"/>
      <c r="D16" s="34">
        <v>0.05</v>
      </c>
      <c r="E16" s="36"/>
      <c r="F16" s="15"/>
      <c r="G16" s="25"/>
      <c r="L16" s="33">
        <v>13</v>
      </c>
      <c r="M16" s="39"/>
      <c r="N16" s="37">
        <f t="shared" si="7"/>
        <v>27.302404429270062</v>
      </c>
      <c r="O16" s="37">
        <f t="shared" si="3"/>
        <v>27.302404429270062</v>
      </c>
      <c r="P16" s="3">
        <f t="shared" si="4"/>
        <v>1994.7043158438682</v>
      </c>
      <c r="Q16" s="37">
        <f t="shared" si="10"/>
        <v>4</v>
      </c>
      <c r="R16" s="37">
        <f t="shared" si="9"/>
        <v>2</v>
      </c>
      <c r="S16" s="49">
        <f t="shared" si="5"/>
        <v>2</v>
      </c>
      <c r="T16" s="52">
        <f t="shared" si="1"/>
        <v>0</v>
      </c>
      <c r="U16" s="53">
        <f t="shared" si="6"/>
        <v>624.29568415613153</v>
      </c>
      <c r="V16" s="52">
        <f t="shared" si="2"/>
        <v>27</v>
      </c>
      <c r="W16" s="53">
        <f t="shared" si="8"/>
        <v>9.2956841561316281</v>
      </c>
    </row>
    <row r="17" spans="1:23" ht="15.75" thickBot="1" x14ac:dyDescent="0.3">
      <c r="B17" s="4" t="s">
        <v>49</v>
      </c>
      <c r="C17" s="42"/>
      <c r="D17" s="5">
        <v>20</v>
      </c>
      <c r="E17" s="15" t="s">
        <v>51</v>
      </c>
      <c r="F17" s="15"/>
      <c r="G17" s="25"/>
      <c r="L17" s="33">
        <v>14</v>
      </c>
      <c r="M17" s="39"/>
      <c r="N17" s="37">
        <f t="shared" si="7"/>
        <v>25.93728420780656</v>
      </c>
      <c r="O17" s="37">
        <f t="shared" si="3"/>
        <v>25.93728420780656</v>
      </c>
      <c r="P17" s="3">
        <f t="shared" si="4"/>
        <v>2020.6416000516749</v>
      </c>
      <c r="Q17" s="37">
        <f t="shared" si="10"/>
        <v>4</v>
      </c>
      <c r="R17" s="37">
        <f t="shared" si="9"/>
        <v>2</v>
      </c>
      <c r="S17" s="49">
        <f t="shared" si="5"/>
        <v>2</v>
      </c>
      <c r="T17" s="52">
        <f t="shared" si="1"/>
        <v>0</v>
      </c>
      <c r="U17" s="53">
        <f t="shared" si="6"/>
        <v>600.35839994832497</v>
      </c>
      <c r="V17" s="52">
        <f t="shared" si="2"/>
        <v>26</v>
      </c>
      <c r="W17" s="53">
        <f t="shared" si="8"/>
        <v>11.358399948325069</v>
      </c>
    </row>
    <row r="18" spans="1:23" ht="15.75" thickBot="1" x14ac:dyDescent="0.3">
      <c r="B18" s="4" t="s">
        <v>47</v>
      </c>
      <c r="C18" s="42"/>
      <c r="D18" s="3">
        <f>VLOOKUP($D$17,SIMULATEUR!$L$4:$P$23,5,FALSE)</f>
        <v>2151.190541566104</v>
      </c>
      <c r="E18" s="36"/>
      <c r="F18" s="15"/>
      <c r="G18" s="25"/>
      <c r="L18" s="33">
        <v>15</v>
      </c>
      <c r="M18" s="39"/>
      <c r="N18" s="37">
        <f t="shared" si="7"/>
        <v>24.640419997416231</v>
      </c>
      <c r="O18" s="37">
        <f t="shared" si="3"/>
        <v>24.640419997416231</v>
      </c>
      <c r="P18" s="3">
        <f t="shared" si="4"/>
        <v>2045.2820200490912</v>
      </c>
      <c r="Q18" s="37">
        <f t="shared" si="10"/>
        <v>4</v>
      </c>
      <c r="R18" s="37">
        <f t="shared" si="9"/>
        <v>2</v>
      </c>
      <c r="S18" s="49">
        <f t="shared" si="5"/>
        <v>2</v>
      </c>
      <c r="T18" s="52">
        <f t="shared" si="1"/>
        <v>0</v>
      </c>
      <c r="U18" s="53">
        <f t="shared" si="6"/>
        <v>577.71797995090878</v>
      </c>
      <c r="V18" s="52">
        <f t="shared" si="2"/>
        <v>25</v>
      </c>
      <c r="W18" s="53">
        <f t="shared" si="8"/>
        <v>13.717979950908838</v>
      </c>
    </row>
    <row r="19" spans="1:23" ht="15.75" thickBot="1" x14ac:dyDescent="0.3">
      <c r="B19" s="15"/>
      <c r="C19" s="15"/>
      <c r="D19" s="15"/>
      <c r="E19" s="36"/>
      <c r="F19" s="15"/>
      <c r="G19" s="25"/>
      <c r="L19" s="33">
        <v>16</v>
      </c>
      <c r="M19" s="39"/>
      <c r="N19" s="37">
        <f t="shared" si="7"/>
        <v>23.408398997545419</v>
      </c>
      <c r="O19" s="37">
        <f t="shared" si="3"/>
        <v>23.408398997545419</v>
      </c>
      <c r="P19" s="3">
        <f t="shared" si="4"/>
        <v>2068.6904190466366</v>
      </c>
      <c r="Q19" s="37">
        <f t="shared" si="10"/>
        <v>4</v>
      </c>
      <c r="R19" s="37">
        <f t="shared" si="9"/>
        <v>2</v>
      </c>
      <c r="S19" s="49">
        <f t="shared" si="5"/>
        <v>2</v>
      </c>
      <c r="T19" s="52">
        <f t="shared" si="1"/>
        <v>0</v>
      </c>
      <c r="U19" s="53">
        <f t="shared" si="6"/>
        <v>556.30958095336337</v>
      </c>
      <c r="V19" s="52">
        <f t="shared" si="2"/>
        <v>23</v>
      </c>
      <c r="W19" s="53">
        <f t="shared" si="8"/>
        <v>15.309580953363419</v>
      </c>
    </row>
    <row r="20" spans="1:23" ht="15.75" thickBot="1" x14ac:dyDescent="0.3">
      <c r="C20" s="15"/>
      <c r="D20" s="15"/>
      <c r="E20" s="36"/>
      <c r="F20" s="15"/>
      <c r="G20" s="25"/>
      <c r="L20" s="33">
        <v>17</v>
      </c>
      <c r="M20" s="39"/>
      <c r="N20" s="37">
        <f t="shared" si="7"/>
        <v>22.237979047668148</v>
      </c>
      <c r="O20" s="37">
        <f t="shared" si="3"/>
        <v>22.237979047668148</v>
      </c>
      <c r="P20" s="3">
        <f t="shared" si="4"/>
        <v>2090.9283980943046</v>
      </c>
      <c r="Q20" s="37">
        <f t="shared" si="10"/>
        <v>3</v>
      </c>
      <c r="R20" s="37">
        <f t="shared" si="9"/>
        <v>1</v>
      </c>
      <c r="S20" s="49">
        <f t="shared" si="5"/>
        <v>2</v>
      </c>
      <c r="T20" s="52">
        <f t="shared" si="1"/>
        <v>0</v>
      </c>
      <c r="U20" s="53">
        <f t="shared" si="6"/>
        <v>535.07160190569516</v>
      </c>
      <c r="V20" s="52">
        <f t="shared" si="2"/>
        <v>22</v>
      </c>
      <c r="W20" s="53">
        <f t="shared" si="8"/>
        <v>16.071601905695271</v>
      </c>
    </row>
    <row r="21" spans="1:23" ht="15.75" thickBot="1" x14ac:dyDescent="0.3">
      <c r="B21" s="29" t="s">
        <v>94</v>
      </c>
      <c r="C21" s="15"/>
      <c r="D21" s="15"/>
      <c r="E21" s="36"/>
      <c r="F21" s="15"/>
      <c r="G21" s="25"/>
      <c r="L21" s="33">
        <v>18</v>
      </c>
      <c r="M21" s="39"/>
      <c r="N21" s="37">
        <f t="shared" si="7"/>
        <v>21.126080095284738</v>
      </c>
      <c r="O21" s="37">
        <f t="shared" si="3"/>
        <v>21.126080095284738</v>
      </c>
      <c r="P21" s="3">
        <f t="shared" si="4"/>
        <v>2112.0544781895892</v>
      </c>
      <c r="Q21" s="37">
        <f t="shared" si="10"/>
        <v>3</v>
      </c>
      <c r="R21" s="37">
        <f t="shared" si="9"/>
        <v>1</v>
      </c>
      <c r="S21" s="49">
        <f t="shared" si="5"/>
        <v>2</v>
      </c>
      <c r="T21" s="52">
        <f t="shared" si="1"/>
        <v>0</v>
      </c>
      <c r="U21" s="53">
        <f t="shared" si="6"/>
        <v>514.94552181041047</v>
      </c>
      <c r="V21" s="52">
        <f t="shared" si="2"/>
        <v>21</v>
      </c>
      <c r="W21" s="53">
        <f t="shared" si="8"/>
        <v>16.945521810410533</v>
      </c>
    </row>
    <row r="22" spans="1:23" ht="15.75" thickBot="1" x14ac:dyDescent="0.3">
      <c r="B22" s="4" t="s">
        <v>90</v>
      </c>
      <c r="C22" s="42"/>
      <c r="D22" s="5">
        <v>1000</v>
      </c>
      <c r="E22" s="8"/>
      <c r="F22" s="15"/>
      <c r="G22" s="25"/>
      <c r="L22" s="33">
        <v>19</v>
      </c>
      <c r="M22" s="39"/>
      <c r="N22" s="37">
        <f t="shared" si="7"/>
        <v>20.069776090520499</v>
      </c>
      <c r="O22" s="37">
        <f t="shared" si="3"/>
        <v>20.069776090520499</v>
      </c>
      <c r="P22" s="3">
        <f t="shared" si="4"/>
        <v>2132.1242542801097</v>
      </c>
      <c r="Q22" s="37">
        <f t="shared" si="10"/>
        <v>3</v>
      </c>
      <c r="R22" s="37">
        <f t="shared" si="9"/>
        <v>1</v>
      </c>
      <c r="S22" s="49">
        <f t="shared" si="5"/>
        <v>2</v>
      </c>
      <c r="T22" s="52">
        <f t="shared" si="1"/>
        <v>0</v>
      </c>
      <c r="U22" s="53">
        <f t="shared" si="6"/>
        <v>495.87574571988995</v>
      </c>
      <c r="V22" s="52">
        <f t="shared" si="2"/>
        <v>20</v>
      </c>
      <c r="W22" s="53">
        <f t="shared" si="8"/>
        <v>17.875745719890034</v>
      </c>
    </row>
    <row r="23" spans="1:23" ht="15.75" thickBot="1" x14ac:dyDescent="0.3">
      <c r="B23" s="4" t="s">
        <v>86</v>
      </c>
      <c r="C23" s="4"/>
      <c r="D23" s="5">
        <v>1500</v>
      </c>
      <c r="E23" s="36"/>
      <c r="F23" s="15"/>
      <c r="G23" s="25"/>
      <c r="L23" s="33">
        <v>20</v>
      </c>
      <c r="M23" s="39"/>
      <c r="N23" s="37">
        <f t="shared" si="7"/>
        <v>19.066287285994473</v>
      </c>
      <c r="O23" s="37">
        <f t="shared" si="3"/>
        <v>19.066287285994473</v>
      </c>
      <c r="P23" s="3">
        <f t="shared" si="4"/>
        <v>2151.190541566104</v>
      </c>
      <c r="Q23" s="37">
        <f t="shared" si="10"/>
        <v>3</v>
      </c>
      <c r="R23" s="37">
        <f t="shared" si="9"/>
        <v>1</v>
      </c>
      <c r="S23" s="49">
        <f t="shared" si="5"/>
        <v>2</v>
      </c>
      <c r="T23" s="54">
        <f t="shared" si="1"/>
        <v>0</v>
      </c>
      <c r="U23" s="55">
        <f t="shared" si="6"/>
        <v>477.80945843389549</v>
      </c>
      <c r="V23" s="54">
        <f t="shared" si="2"/>
        <v>19</v>
      </c>
      <c r="W23" s="55">
        <f t="shared" si="8"/>
        <v>18.809458433895561</v>
      </c>
    </row>
    <row r="24" spans="1:23" ht="15.75" thickBot="1" x14ac:dyDescent="0.3">
      <c r="B24" s="4" t="s">
        <v>87</v>
      </c>
      <c r="C24" s="4"/>
      <c r="D24" s="5">
        <v>100</v>
      </c>
      <c r="E24" s="36"/>
      <c r="F24" s="15"/>
      <c r="G24" s="25"/>
      <c r="H24" s="27"/>
    </row>
    <row r="25" spans="1:23" ht="15.75" thickBot="1" x14ac:dyDescent="0.3">
      <c r="B25" s="57" t="s">
        <v>91</v>
      </c>
      <c r="C25" s="4"/>
      <c r="D25" s="47">
        <v>10</v>
      </c>
      <c r="E25" s="36"/>
    </row>
    <row r="26" spans="1:23" ht="15.75" thickBot="1" x14ac:dyDescent="0.3">
      <c r="B26" s="4" t="s">
        <v>88</v>
      </c>
      <c r="C26" s="4"/>
      <c r="D26" s="5">
        <v>4</v>
      </c>
      <c r="E26" s="36"/>
      <c r="J26" s="25"/>
    </row>
    <row r="27" spans="1:23" ht="15.75" thickBot="1" x14ac:dyDescent="0.3">
      <c r="B27" s="35"/>
      <c r="C27" s="35"/>
      <c r="F27" s="15"/>
    </row>
    <row r="28" spans="1:23" ht="23.25" thickBot="1" x14ac:dyDescent="0.3">
      <c r="A28" s="9" t="s">
        <v>52</v>
      </c>
      <c r="B28" s="9"/>
      <c r="C28" s="9"/>
      <c r="D28" s="9" t="s">
        <v>13</v>
      </c>
      <c r="E28" s="9" t="s">
        <v>14</v>
      </c>
      <c r="F28" s="8" t="s">
        <v>60</v>
      </c>
    </row>
    <row r="29" spans="1:23" ht="15.75" thickBot="1" x14ac:dyDescent="0.3">
      <c r="A29" s="4">
        <v>1</v>
      </c>
      <c r="B29" s="4" t="s">
        <v>0</v>
      </c>
      <c r="C29" s="26"/>
      <c r="D29" s="3">
        <f>$U$3</f>
        <v>1500</v>
      </c>
      <c r="E29" s="3">
        <f>$W3</f>
        <v>1040</v>
      </c>
      <c r="F29" s="23"/>
    </row>
    <row r="30" spans="1:23" ht="15.75" outlineLevel="1" thickBot="1" x14ac:dyDescent="0.3">
      <c r="A30" s="4">
        <v>2</v>
      </c>
      <c r="B30" s="4" t="s">
        <v>76</v>
      </c>
      <c r="C30" s="4"/>
      <c r="D30" s="3">
        <f t="shared" ref="D30:D48" si="11">$T5</f>
        <v>0</v>
      </c>
      <c r="E30" s="3">
        <f>$V4</f>
        <v>0</v>
      </c>
    </row>
    <row r="31" spans="1:23" ht="15.75" outlineLevel="1" thickBot="1" x14ac:dyDescent="0.3">
      <c r="A31" s="4">
        <v>3</v>
      </c>
      <c r="B31" s="4" t="s">
        <v>15</v>
      </c>
      <c r="C31" s="4"/>
      <c r="D31" s="3">
        <f t="shared" si="11"/>
        <v>0</v>
      </c>
      <c r="E31" s="3">
        <f t="shared" ref="E31:E48" si="12">$V5</f>
        <v>228</v>
      </c>
    </row>
    <row r="32" spans="1:23" ht="15.75" outlineLevel="1" thickBot="1" x14ac:dyDescent="0.3">
      <c r="A32" s="4">
        <v>4</v>
      </c>
      <c r="B32" s="4" t="s">
        <v>16</v>
      </c>
      <c r="C32" s="4"/>
      <c r="D32" s="3">
        <f t="shared" si="11"/>
        <v>1000</v>
      </c>
      <c r="E32" s="3">
        <f t="shared" si="12"/>
        <v>217</v>
      </c>
    </row>
    <row r="33" spans="1:11" ht="15.75" outlineLevel="1" thickBot="1" x14ac:dyDescent="0.3">
      <c r="A33" s="4">
        <v>5</v>
      </c>
      <c r="B33" s="4" t="s">
        <v>17</v>
      </c>
      <c r="C33" s="4"/>
      <c r="D33" s="3">
        <f t="shared" si="11"/>
        <v>0</v>
      </c>
      <c r="E33" s="3">
        <f t="shared" si="12"/>
        <v>206</v>
      </c>
    </row>
    <row r="34" spans="1:11" ht="15.75" outlineLevel="1" thickBot="1" x14ac:dyDescent="0.3">
      <c r="A34" s="4">
        <v>6</v>
      </c>
      <c r="B34" s="4" t="s">
        <v>18</v>
      </c>
      <c r="C34" s="4"/>
      <c r="D34" s="3">
        <f t="shared" si="11"/>
        <v>0</v>
      </c>
      <c r="E34" s="3">
        <f t="shared" si="12"/>
        <v>0</v>
      </c>
    </row>
    <row r="35" spans="1:11" ht="15.75" outlineLevel="1" thickBot="1" x14ac:dyDescent="0.3">
      <c r="A35" s="4">
        <v>7</v>
      </c>
      <c r="B35" s="4" t="s">
        <v>19</v>
      </c>
      <c r="C35" s="4"/>
      <c r="D35" s="3">
        <f t="shared" si="11"/>
        <v>0</v>
      </c>
      <c r="E35" s="3">
        <f t="shared" si="12"/>
        <v>0</v>
      </c>
    </row>
    <row r="36" spans="1:11" ht="15.75" outlineLevel="1" thickBot="1" x14ac:dyDescent="0.3">
      <c r="A36" s="4">
        <v>8</v>
      </c>
      <c r="B36" s="4" t="s">
        <v>20</v>
      </c>
      <c r="C36" s="4"/>
      <c r="D36" s="3">
        <f t="shared" si="11"/>
        <v>0</v>
      </c>
      <c r="E36" s="3">
        <f t="shared" si="12"/>
        <v>37</v>
      </c>
      <c r="F36" s="8"/>
    </row>
    <row r="37" spans="1:11" ht="15.75" outlineLevel="1" thickBot="1" x14ac:dyDescent="0.3">
      <c r="A37" s="4">
        <v>9</v>
      </c>
      <c r="B37" s="4" t="s">
        <v>21</v>
      </c>
      <c r="C37" s="4"/>
      <c r="D37" s="3">
        <f t="shared" si="11"/>
        <v>0</v>
      </c>
      <c r="E37" s="3">
        <f t="shared" si="12"/>
        <v>35</v>
      </c>
    </row>
    <row r="38" spans="1:11" ht="15.75" outlineLevel="1" thickBot="1" x14ac:dyDescent="0.3">
      <c r="A38" s="4">
        <v>10</v>
      </c>
      <c r="B38" s="4" t="s">
        <v>22</v>
      </c>
      <c r="C38" s="4"/>
      <c r="D38" s="3">
        <f t="shared" si="11"/>
        <v>0</v>
      </c>
      <c r="E38" s="3">
        <f t="shared" si="12"/>
        <v>34</v>
      </c>
    </row>
    <row r="39" spans="1:11" ht="15.75" outlineLevel="1" thickBot="1" x14ac:dyDescent="0.3">
      <c r="A39" s="4">
        <v>11</v>
      </c>
      <c r="B39" s="4" t="s">
        <v>23</v>
      </c>
      <c r="C39" s="4"/>
      <c r="D39" s="3">
        <f t="shared" si="11"/>
        <v>0</v>
      </c>
      <c r="E39" s="3">
        <f t="shared" si="12"/>
        <v>32</v>
      </c>
    </row>
    <row r="40" spans="1:11" ht="15.75" outlineLevel="1" thickBot="1" x14ac:dyDescent="0.3">
      <c r="A40" s="4">
        <v>12</v>
      </c>
      <c r="B40" s="4" t="s">
        <v>37</v>
      </c>
      <c r="C40" s="4"/>
      <c r="D40" s="3">
        <f t="shared" si="11"/>
        <v>0</v>
      </c>
      <c r="E40" s="3">
        <f t="shared" si="12"/>
        <v>0</v>
      </c>
    </row>
    <row r="41" spans="1:11" ht="15.75" outlineLevel="1" thickBot="1" x14ac:dyDescent="0.3">
      <c r="A41" s="4">
        <v>13</v>
      </c>
      <c r="B41" s="4" t="s">
        <v>38</v>
      </c>
      <c r="C41" s="4"/>
      <c r="D41" s="3">
        <f t="shared" si="11"/>
        <v>0</v>
      </c>
      <c r="E41" s="3">
        <f t="shared" si="12"/>
        <v>29</v>
      </c>
    </row>
    <row r="42" spans="1:11" ht="15.75" outlineLevel="1" thickBot="1" x14ac:dyDescent="0.3">
      <c r="A42" s="4">
        <v>14</v>
      </c>
      <c r="B42" s="4" t="s">
        <v>53</v>
      </c>
      <c r="C42" s="4"/>
      <c r="D42" s="3">
        <f t="shared" si="11"/>
        <v>0</v>
      </c>
      <c r="E42" s="3">
        <f t="shared" si="12"/>
        <v>27</v>
      </c>
    </row>
    <row r="43" spans="1:11" ht="15.75" outlineLevel="1" thickBot="1" x14ac:dyDescent="0.3">
      <c r="A43" s="4">
        <v>15</v>
      </c>
      <c r="B43" s="4" t="s">
        <v>54</v>
      </c>
      <c r="C43" s="4"/>
      <c r="D43" s="3">
        <f t="shared" si="11"/>
        <v>0</v>
      </c>
      <c r="E43" s="3">
        <f t="shared" si="12"/>
        <v>26</v>
      </c>
    </row>
    <row r="44" spans="1:11" ht="15.75" outlineLevel="1" thickBot="1" x14ac:dyDescent="0.3">
      <c r="A44" s="4">
        <v>16</v>
      </c>
      <c r="B44" s="4" t="s">
        <v>55</v>
      </c>
      <c r="C44" s="4"/>
      <c r="D44" s="3">
        <f t="shared" si="11"/>
        <v>0</v>
      </c>
      <c r="E44" s="3">
        <f t="shared" si="12"/>
        <v>25</v>
      </c>
    </row>
    <row r="45" spans="1:11" ht="15.75" outlineLevel="1" thickBot="1" x14ac:dyDescent="0.3">
      <c r="A45" s="4">
        <v>17</v>
      </c>
      <c r="B45" s="4" t="s">
        <v>56</v>
      </c>
      <c r="C45" s="4"/>
      <c r="D45" s="3">
        <f t="shared" si="11"/>
        <v>0</v>
      </c>
      <c r="E45" s="3">
        <f t="shared" si="12"/>
        <v>23</v>
      </c>
    </row>
    <row r="46" spans="1:11" ht="15.75" outlineLevel="1" thickBot="1" x14ac:dyDescent="0.3">
      <c r="A46" s="4">
        <v>18</v>
      </c>
      <c r="B46" s="4" t="s">
        <v>57</v>
      </c>
      <c r="C46" s="4"/>
      <c r="D46" s="3">
        <f t="shared" si="11"/>
        <v>0</v>
      </c>
      <c r="E46" s="3">
        <f t="shared" si="12"/>
        <v>22</v>
      </c>
    </row>
    <row r="47" spans="1:11" ht="15.75" outlineLevel="1" thickBot="1" x14ac:dyDescent="0.3">
      <c r="A47" s="4">
        <v>19</v>
      </c>
      <c r="B47" s="4" t="s">
        <v>58</v>
      </c>
      <c r="C47" s="4"/>
      <c r="D47" s="3">
        <f t="shared" si="11"/>
        <v>0</v>
      </c>
      <c r="E47" s="3">
        <f t="shared" si="12"/>
        <v>21</v>
      </c>
      <c r="H47" s="13"/>
      <c r="K47" s="6"/>
    </row>
    <row r="48" spans="1:11" ht="15.75" outlineLevel="1" thickBot="1" x14ac:dyDescent="0.3">
      <c r="A48" s="4">
        <v>20</v>
      </c>
      <c r="B48" s="4" t="s">
        <v>59</v>
      </c>
      <c r="C48" s="4"/>
      <c r="D48" s="3">
        <f t="shared" si="11"/>
        <v>0</v>
      </c>
      <c r="E48" s="3">
        <f t="shared" si="12"/>
        <v>20</v>
      </c>
    </row>
    <row r="49" spans="1:7" ht="15.75" thickBot="1" x14ac:dyDescent="0.3">
      <c r="B49" s="30" t="s">
        <v>32</v>
      </c>
      <c r="C49" s="30"/>
      <c r="D49" s="40">
        <f>SUM(D29:D48)</f>
        <v>2500</v>
      </c>
      <c r="E49" s="40">
        <f>SUM(E29:E48)</f>
        <v>2022</v>
      </c>
      <c r="F49" s="8"/>
    </row>
    <row r="50" spans="1:7" ht="23.25" thickBot="1" x14ac:dyDescent="0.3">
      <c r="B50" s="4" t="s">
        <v>100</v>
      </c>
      <c r="C50" s="4"/>
      <c r="D50" s="3">
        <f>U23+SUM($S$4:$S$23)</f>
        <v>671.80945843389554</v>
      </c>
      <c r="E50" s="3">
        <f>W23+SUM($S$4:$S$23)</f>
        <v>212.80945843389557</v>
      </c>
      <c r="F50" s="8" t="s">
        <v>25</v>
      </c>
      <c r="G50" s="1"/>
    </row>
    <row r="51" spans="1:7" ht="15.75" thickBot="1" x14ac:dyDescent="0.3">
      <c r="B51" s="4" t="s">
        <v>95</v>
      </c>
      <c r="C51" s="4"/>
      <c r="D51" s="2">
        <f>D50/D49</f>
        <v>0.26872378337355823</v>
      </c>
      <c r="E51" s="2">
        <f>E50/E49</f>
        <v>0.10524701208402353</v>
      </c>
    </row>
    <row r="52" spans="1:7" ht="15.75" thickBot="1" x14ac:dyDescent="0.3">
      <c r="A52" s="4">
        <v>1</v>
      </c>
      <c r="B52" s="4" t="s">
        <v>1</v>
      </c>
      <c r="C52" s="4"/>
      <c r="D52" s="3">
        <f>$U4</f>
        <v>522</v>
      </c>
      <c r="E52" s="3">
        <f>$W4</f>
        <v>62</v>
      </c>
    </row>
    <row r="53" spans="1:7" ht="15.75" outlineLevel="1" thickBot="1" x14ac:dyDescent="0.3">
      <c r="A53" s="4">
        <v>2</v>
      </c>
      <c r="B53" s="4" t="s">
        <v>2</v>
      </c>
      <c r="C53" s="4"/>
      <c r="D53" s="3">
        <f t="shared" ref="D53:D71" si="13">$U5</f>
        <v>308</v>
      </c>
      <c r="E53" s="3">
        <f t="shared" ref="E53:E71" si="14">$W5</f>
        <v>76</v>
      </c>
    </row>
    <row r="54" spans="1:7" ht="15.75" outlineLevel="1" thickBot="1" x14ac:dyDescent="0.3">
      <c r="A54" s="4">
        <v>3</v>
      </c>
      <c r="B54" s="4" t="s">
        <v>3</v>
      </c>
      <c r="C54" s="4"/>
      <c r="D54" s="3">
        <f t="shared" si="13"/>
        <v>104.4</v>
      </c>
      <c r="E54" s="3">
        <f t="shared" si="14"/>
        <v>89.4</v>
      </c>
      <c r="F54" s="8"/>
    </row>
    <row r="55" spans="1:7" ht="15.75" outlineLevel="1" thickBot="1" x14ac:dyDescent="0.3">
      <c r="A55" s="4">
        <v>4</v>
      </c>
      <c r="B55" s="4" t="s">
        <v>4</v>
      </c>
      <c r="C55" s="4"/>
      <c r="D55" s="3">
        <f t="shared" si="13"/>
        <v>910.63</v>
      </c>
      <c r="E55" s="3">
        <f t="shared" si="14"/>
        <v>101.63000000000002</v>
      </c>
    </row>
    <row r="56" spans="1:7" ht="15.75" outlineLevel="1" thickBot="1" x14ac:dyDescent="0.3">
      <c r="A56" s="4">
        <v>5</v>
      </c>
      <c r="B56" s="4" t="s">
        <v>5</v>
      </c>
      <c r="C56" s="4"/>
      <c r="D56" s="3">
        <f t="shared" si="13"/>
        <v>871.476</v>
      </c>
      <c r="E56" s="3">
        <f t="shared" si="14"/>
        <v>62.476000000000028</v>
      </c>
    </row>
    <row r="57" spans="1:7" ht="15.75" outlineLevel="1" thickBot="1" x14ac:dyDescent="0.3">
      <c r="A57" s="4">
        <v>6</v>
      </c>
      <c r="B57" s="4" t="s">
        <v>8</v>
      </c>
      <c r="C57" s="4"/>
      <c r="D57" s="3">
        <f t="shared" si="13"/>
        <v>834.37969999999996</v>
      </c>
      <c r="E57" s="3">
        <f t="shared" si="14"/>
        <v>25.379700000000035</v>
      </c>
    </row>
    <row r="58" spans="1:7" ht="15.75" outlineLevel="1" thickBot="1" x14ac:dyDescent="0.3">
      <c r="A58" s="4">
        <v>7</v>
      </c>
      <c r="B58" s="4" t="s">
        <v>9</v>
      </c>
      <c r="C58" s="4"/>
      <c r="D58" s="3">
        <f t="shared" si="13"/>
        <v>799.23821499999997</v>
      </c>
      <c r="E58" s="3">
        <f t="shared" si="14"/>
        <v>27.238215000000046</v>
      </c>
    </row>
    <row r="59" spans="1:7" ht="15.75" outlineLevel="1" thickBot="1" x14ac:dyDescent="0.3">
      <c r="A59" s="4">
        <v>8</v>
      </c>
      <c r="B59" s="4" t="s">
        <v>10</v>
      </c>
      <c r="C59" s="4"/>
      <c r="D59" s="3">
        <f t="shared" si="13"/>
        <v>765.95380424999996</v>
      </c>
      <c r="E59" s="3">
        <f t="shared" si="14"/>
        <v>28.953804250000061</v>
      </c>
    </row>
    <row r="60" spans="1:7" ht="15.75" outlineLevel="1" thickBot="1" x14ac:dyDescent="0.3">
      <c r="A60" s="4">
        <v>9</v>
      </c>
      <c r="B60" s="4" t="s">
        <v>11</v>
      </c>
      <c r="C60" s="4"/>
      <c r="D60" s="3">
        <f t="shared" si="13"/>
        <v>734.43361403749998</v>
      </c>
      <c r="E60" s="3">
        <f t="shared" si="14"/>
        <v>31.433614037500078</v>
      </c>
    </row>
    <row r="61" spans="1:7" ht="15.75" outlineLevel="1" thickBot="1" x14ac:dyDescent="0.3">
      <c r="A61" s="4">
        <v>10</v>
      </c>
      <c r="B61" s="4" t="s">
        <v>12</v>
      </c>
      <c r="C61" s="4"/>
      <c r="D61" s="3">
        <f t="shared" si="13"/>
        <v>704.58943333562502</v>
      </c>
      <c r="E61" s="3">
        <f t="shared" si="14"/>
        <v>33.589433335625095</v>
      </c>
    </row>
    <row r="62" spans="1:7" ht="15.75" outlineLevel="1" thickBot="1" x14ac:dyDescent="0.3">
      <c r="A62" s="4">
        <v>11</v>
      </c>
      <c r="B62" s="4" t="s">
        <v>61</v>
      </c>
      <c r="C62" s="4"/>
      <c r="D62" s="3">
        <f t="shared" si="13"/>
        <v>676.33746166884373</v>
      </c>
      <c r="E62" s="3">
        <f t="shared" si="14"/>
        <v>5.3374616688438614</v>
      </c>
    </row>
    <row r="63" spans="1:7" ht="15.75" outlineLevel="1" thickBot="1" x14ac:dyDescent="0.3">
      <c r="A63" s="4">
        <v>12</v>
      </c>
      <c r="B63" s="4" t="s">
        <v>62</v>
      </c>
      <c r="C63" s="4"/>
      <c r="D63" s="3">
        <f t="shared" si="13"/>
        <v>649.59808858540157</v>
      </c>
      <c r="E63" s="3">
        <f t="shared" si="14"/>
        <v>7.5980885854016904</v>
      </c>
    </row>
    <row r="64" spans="1:7" ht="15.75" outlineLevel="1" thickBot="1" x14ac:dyDescent="0.3">
      <c r="A64" s="4">
        <v>13</v>
      </c>
      <c r="B64" s="4" t="s">
        <v>63</v>
      </c>
      <c r="C64" s="4"/>
      <c r="D64" s="3">
        <f t="shared" si="13"/>
        <v>624.29568415613153</v>
      </c>
      <c r="E64" s="3">
        <f t="shared" si="14"/>
        <v>9.2956841561316281</v>
      </c>
    </row>
    <row r="65" spans="1:12" ht="15.75" outlineLevel="1" thickBot="1" x14ac:dyDescent="0.3">
      <c r="A65" s="4">
        <v>14</v>
      </c>
      <c r="B65" s="4" t="s">
        <v>64</v>
      </c>
      <c r="C65" s="4"/>
      <c r="D65" s="3">
        <f t="shared" si="13"/>
        <v>600.35839994832497</v>
      </c>
      <c r="E65" s="3">
        <f t="shared" si="14"/>
        <v>11.358399948325069</v>
      </c>
    </row>
    <row r="66" spans="1:12" ht="15.75" outlineLevel="1" thickBot="1" x14ac:dyDescent="0.3">
      <c r="A66" s="4">
        <v>15</v>
      </c>
      <c r="B66" s="4" t="s">
        <v>65</v>
      </c>
      <c r="C66" s="4"/>
      <c r="D66" s="3">
        <f t="shared" si="13"/>
        <v>577.71797995090878</v>
      </c>
      <c r="E66" s="3">
        <f t="shared" si="14"/>
        <v>13.717979950908838</v>
      </c>
    </row>
    <row r="67" spans="1:12" ht="15.75" outlineLevel="1" thickBot="1" x14ac:dyDescent="0.3">
      <c r="A67" s="4">
        <v>16</v>
      </c>
      <c r="B67" s="4" t="s">
        <v>66</v>
      </c>
      <c r="C67" s="4"/>
      <c r="D67" s="3">
        <f t="shared" si="13"/>
        <v>556.30958095336337</v>
      </c>
      <c r="E67" s="3">
        <f t="shared" si="14"/>
        <v>15.309580953363419</v>
      </c>
    </row>
    <row r="68" spans="1:12" ht="15.75" outlineLevel="1" thickBot="1" x14ac:dyDescent="0.3">
      <c r="A68" s="4">
        <v>17</v>
      </c>
      <c r="B68" s="4" t="s">
        <v>67</v>
      </c>
      <c r="C68" s="4"/>
      <c r="D68" s="3">
        <f t="shared" si="13"/>
        <v>535.07160190569516</v>
      </c>
      <c r="E68" s="3">
        <f t="shared" si="14"/>
        <v>16.071601905695271</v>
      </c>
    </row>
    <row r="69" spans="1:12" ht="15.75" outlineLevel="1" thickBot="1" x14ac:dyDescent="0.3">
      <c r="A69" s="4">
        <v>18</v>
      </c>
      <c r="B69" s="4" t="s">
        <v>68</v>
      </c>
      <c r="C69" s="4"/>
      <c r="D69" s="3">
        <f t="shared" si="13"/>
        <v>514.94552181041047</v>
      </c>
      <c r="E69" s="3">
        <f t="shared" si="14"/>
        <v>16.945521810410533</v>
      </c>
      <c r="H69" s="31">
        <v>1.0999999999999999E-2</v>
      </c>
    </row>
    <row r="70" spans="1:12" ht="15.75" outlineLevel="1" thickBot="1" x14ac:dyDescent="0.3">
      <c r="A70" s="4">
        <v>19</v>
      </c>
      <c r="B70" s="4" t="s">
        <v>69</v>
      </c>
      <c r="C70" s="4"/>
      <c r="D70" s="3">
        <f t="shared" si="13"/>
        <v>495.87574571988995</v>
      </c>
      <c r="E70" s="3">
        <f t="shared" si="14"/>
        <v>17.875745719890034</v>
      </c>
    </row>
    <row r="71" spans="1:12" ht="15.75" outlineLevel="1" thickBot="1" x14ac:dyDescent="0.3">
      <c r="A71" s="4">
        <v>20</v>
      </c>
      <c r="B71" s="4" t="s">
        <v>70</v>
      </c>
      <c r="C71" s="4"/>
      <c r="D71" s="3">
        <f t="shared" si="13"/>
        <v>477.80945843389549</v>
      </c>
      <c r="E71" s="3">
        <f t="shared" si="14"/>
        <v>18.809458433895561</v>
      </c>
      <c r="F71" s="8"/>
      <c r="H71" s="12"/>
      <c r="I71" s="12"/>
      <c r="J71" s="12"/>
      <c r="K71" s="12"/>
      <c r="L71" s="12"/>
    </row>
    <row r="72" spans="1:12" ht="15.75" thickBot="1" x14ac:dyDescent="0.3">
      <c r="F72" s="15" t="s">
        <v>26</v>
      </c>
      <c r="H72" s="12"/>
      <c r="I72" s="12"/>
      <c r="J72" s="12"/>
      <c r="K72" s="12"/>
      <c r="L72" s="12"/>
    </row>
    <row r="73" spans="1:12" ht="15.75" thickBot="1" x14ac:dyDescent="0.3">
      <c r="B73" s="4" t="s">
        <v>41</v>
      </c>
      <c r="C73" s="42" t="s">
        <v>7</v>
      </c>
      <c r="D73" s="7">
        <f>(SUM(D52:D71)*$D$4)/1000</f>
        <v>0.26979524637463176</v>
      </c>
      <c r="E73" s="7">
        <f>(SUM(E52:E71)*$D$4)/1000</f>
        <v>1.4749246374631805E-2</v>
      </c>
      <c r="F73" s="15"/>
      <c r="H73" s="12"/>
      <c r="I73" s="12"/>
      <c r="J73" s="12"/>
      <c r="K73" s="12"/>
      <c r="L73" s="12"/>
    </row>
    <row r="74" spans="1:12" ht="15.75" thickBot="1" x14ac:dyDescent="0.3">
      <c r="B74" s="4" t="s">
        <v>71</v>
      </c>
      <c r="C74" s="42" t="s">
        <v>81</v>
      </c>
      <c r="D74" s="14">
        <f>SUM(D52:D71)*$H$69</f>
        <v>134.89762318731587</v>
      </c>
      <c r="E74" s="14">
        <f>SUM(E52:E71)*$H$69</f>
        <v>7.3746231873159029</v>
      </c>
      <c r="F74" s="59">
        <f>E74/D74-1</f>
        <v>-0.94533170405029554</v>
      </c>
      <c r="H74" s="12"/>
      <c r="I74" s="12"/>
      <c r="J74" s="12"/>
      <c r="K74" s="12"/>
      <c r="L74" s="12"/>
    </row>
    <row r="75" spans="1:12" ht="15.75" thickBot="1" x14ac:dyDescent="0.3">
      <c r="B75" s="4" t="s">
        <v>24</v>
      </c>
      <c r="C75" s="4"/>
      <c r="D75" s="7">
        <f>($O$1-$Q$1)/D$49</f>
        <v>0.7312762166264416</v>
      </c>
      <c r="E75" s="7">
        <f>($O$1-$Q$1)/E$49</f>
        <v>0.90414962490905237</v>
      </c>
      <c r="F75" s="8"/>
      <c r="H75" s="24"/>
    </row>
    <row r="76" spans="1:12" ht="23.25" thickBot="1" x14ac:dyDescent="0.3">
      <c r="B76" s="4" t="s">
        <v>97</v>
      </c>
      <c r="C76" s="42" t="s">
        <v>7</v>
      </c>
      <c r="D76" s="3">
        <f>VLOOKUP($D$17,SIMULATEUR!$L$4:$W$23,10,FALSE)*D$5</f>
        <v>286.6856750603373</v>
      </c>
      <c r="E76" s="3">
        <f>VLOOKUP($D$17,SIMULATEUR!$L$4:$W$23,12,FALSE)*E$5</f>
        <v>11.285675060337336</v>
      </c>
      <c r="F76" s="8"/>
      <c r="H76" s="16"/>
    </row>
    <row r="77" spans="1:12" ht="15.75" thickBot="1" x14ac:dyDescent="0.3">
      <c r="B77" s="4" t="s">
        <v>101</v>
      </c>
      <c r="C77" s="42" t="s">
        <v>7</v>
      </c>
      <c r="D77" s="3">
        <f>D49*D5+D73</f>
        <v>1500.2697952463745</v>
      </c>
      <c r="E77" s="3">
        <f>E49*E5+E73</f>
        <v>1213.2147492463746</v>
      </c>
      <c r="F77" s="59">
        <f>E77/D77-1</f>
        <v>-0.1913356163734935</v>
      </c>
    </row>
    <row r="78" spans="1:12" ht="15.75" thickBot="1" x14ac:dyDescent="0.3">
      <c r="B78" s="4" t="s">
        <v>39</v>
      </c>
      <c r="C78" s="42" t="s">
        <v>81</v>
      </c>
      <c r="D78" s="32">
        <f>(($D$49-$D$29)/$D$22)*$D$22*$D$6+VLOOKUP($D$23,'Coût impression tirage long'!$A$2:$B$10,2,FALSE)*$D$23</f>
        <v>2690</v>
      </c>
      <c r="E78" s="32">
        <f>E49*E6</f>
        <v>3356.52</v>
      </c>
      <c r="F78" s="59">
        <f>E78/D78-1</f>
        <v>0.24777695167286251</v>
      </c>
    </row>
    <row r="79" spans="1:12" ht="15.75" thickBot="1" x14ac:dyDescent="0.3">
      <c r="B79" s="60" t="s">
        <v>40</v>
      </c>
      <c r="C79" s="61" t="s">
        <v>81</v>
      </c>
      <c r="D79" s="62">
        <f>$H$79*D49</f>
        <v>27.5</v>
      </c>
      <c r="E79" s="62">
        <f>$H$79*E49</f>
        <v>22.241999999999997</v>
      </c>
      <c r="F79" s="8" t="s">
        <v>98</v>
      </c>
      <c r="G79" s="16"/>
      <c r="H79" s="31">
        <v>1.0999999999999999E-2</v>
      </c>
    </row>
    <row r="80" spans="1:12" ht="15.75" thickBot="1" x14ac:dyDescent="0.3">
      <c r="F80" s="15"/>
    </row>
    <row r="81" spans="2:6" ht="15.75" thickBot="1" x14ac:dyDescent="0.3">
      <c r="C81" s="42" t="s">
        <v>7</v>
      </c>
      <c r="D81" s="7">
        <f>D73+D76</f>
        <v>286.95547030671196</v>
      </c>
      <c r="E81" s="7">
        <f>E73+E76</f>
        <v>11.300424306711967</v>
      </c>
      <c r="F81" t="s">
        <v>103</v>
      </c>
    </row>
    <row r="82" spans="2:6" ht="15.75" thickBot="1" x14ac:dyDescent="0.3">
      <c r="D82" s="18" t="s">
        <v>27</v>
      </c>
      <c r="E82" s="17">
        <f>E81/D81-1</f>
        <v>-0.96061958918352897</v>
      </c>
      <c r="F82" s="8"/>
    </row>
    <row r="83" spans="2:6" ht="15.75" thickBot="1" x14ac:dyDescent="0.3">
      <c r="C83" s="42" t="s">
        <v>96</v>
      </c>
      <c r="D83" s="32">
        <f>D74+D78</f>
        <v>2824.8976231873157</v>
      </c>
      <c r="E83" s="32">
        <f>E74+E78</f>
        <v>3363.894623187316</v>
      </c>
    </row>
    <row r="84" spans="2:6" x14ac:dyDescent="0.25">
      <c r="D84" s="18" t="s">
        <v>27</v>
      </c>
      <c r="E84" s="17">
        <f>E83/D83-1</f>
        <v>0.19080231282571325</v>
      </c>
    </row>
    <row r="86" spans="2:6" x14ac:dyDescent="0.25">
      <c r="B86" s="22" t="s">
        <v>28</v>
      </c>
      <c r="C86" s="22"/>
    </row>
    <row r="87" spans="2:6" x14ac:dyDescent="0.25">
      <c r="B87" s="21" t="s">
        <v>29</v>
      </c>
      <c r="C87" s="21"/>
      <c r="D87" s="63"/>
    </row>
    <row r="88" spans="2:6" x14ac:dyDescent="0.25">
      <c r="B88" s="21" t="s">
        <v>30</v>
      </c>
      <c r="C88" s="21"/>
    </row>
    <row r="89" spans="2:6" x14ac:dyDescent="0.25">
      <c r="B89" s="21" t="s">
        <v>31</v>
      </c>
      <c r="C89" s="21"/>
    </row>
  </sheetData>
  <mergeCells count="2">
    <mergeCell ref="T1:U1"/>
    <mergeCell ref="V1:W1"/>
  </mergeCells>
  <phoneticPr fontId="3" type="noConversion"/>
  <pageMargins left="0.7" right="0.7" top="0.75" bottom="0.75" header="0.3" footer="0.3"/>
  <pageSetup paperSize="9" orientation="portrait" r:id="rId1"/>
  <customProperties>
    <customPr name="_pios_id" r:id="rId2"/>
  </customProperties>
  <ignoredErrors>
    <ignoredError sqref="E83" 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7D42B-8D70-49C5-AEBC-CBC01CA6E0E8}">
  <dimension ref="A1:B10"/>
  <sheetViews>
    <sheetView workbookViewId="0">
      <selection activeCell="B2" sqref="B2:B7"/>
    </sheetView>
  </sheetViews>
  <sheetFormatPr baseColWidth="10" defaultRowHeight="15" x14ac:dyDescent="0.25"/>
  <cols>
    <col min="1" max="1" width="17.140625" bestFit="1" customWidth="1"/>
    <col min="2" max="2" width="23.5703125" bestFit="1" customWidth="1"/>
  </cols>
  <sheetData>
    <row r="1" spans="1:2" x14ac:dyDescent="0.25">
      <c r="A1" s="33" t="s">
        <v>92</v>
      </c>
      <c r="B1" s="33" t="s">
        <v>93</v>
      </c>
    </row>
    <row r="2" spans="1:2" x14ac:dyDescent="0.25">
      <c r="A2" s="33">
        <v>1500</v>
      </c>
      <c r="B2" s="33">
        <v>0.96</v>
      </c>
    </row>
    <row r="3" spans="1:2" x14ac:dyDescent="0.25">
      <c r="A3" s="33">
        <v>1400</v>
      </c>
      <c r="B3" s="33">
        <v>1</v>
      </c>
    </row>
    <row r="4" spans="1:2" x14ac:dyDescent="0.25">
      <c r="A4" s="33">
        <v>1300</v>
      </c>
      <c r="B4" s="33">
        <v>1.1000000000000001</v>
      </c>
    </row>
    <row r="5" spans="1:2" x14ac:dyDescent="0.25">
      <c r="A5" s="33">
        <v>1200</v>
      </c>
      <c r="B5" s="33">
        <v>1.1499999999999999</v>
      </c>
    </row>
    <row r="6" spans="1:2" x14ac:dyDescent="0.25">
      <c r="A6" s="33">
        <v>1100</v>
      </c>
      <c r="B6" s="33">
        <v>1.2</v>
      </c>
    </row>
    <row r="7" spans="1:2" x14ac:dyDescent="0.25">
      <c r="A7" s="33">
        <v>1000</v>
      </c>
      <c r="B7" s="33">
        <v>1.25</v>
      </c>
    </row>
    <row r="8" spans="1:2" x14ac:dyDescent="0.25">
      <c r="A8" s="33">
        <v>900</v>
      </c>
      <c r="B8" s="33">
        <v>1.3</v>
      </c>
    </row>
    <row r="9" spans="1:2" x14ac:dyDescent="0.25">
      <c r="A9" s="33">
        <v>800</v>
      </c>
      <c r="B9" s="33">
        <v>1.35</v>
      </c>
    </row>
    <row r="10" spans="1:2" x14ac:dyDescent="0.25">
      <c r="A10" s="33">
        <v>700</v>
      </c>
      <c r="B10" s="33">
        <v>1.4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4AD1-65EB-46DD-BF28-78D98895B441}">
  <dimension ref="A1:U2"/>
  <sheetViews>
    <sheetView workbookViewId="0">
      <selection activeCell="F1" sqref="F1"/>
    </sheetView>
  </sheetViews>
  <sheetFormatPr baseColWidth="10" defaultRowHeight="15" x14ac:dyDescent="0.25"/>
  <cols>
    <col min="1" max="1" width="24.140625" bestFit="1" customWidth="1"/>
  </cols>
  <sheetData>
    <row r="1" spans="1:21" x14ac:dyDescent="0.25">
      <c r="A1" s="33" t="s">
        <v>84</v>
      </c>
      <c r="B1" s="33">
        <v>1</v>
      </c>
      <c r="C1" s="33">
        <v>2</v>
      </c>
      <c r="D1" s="33">
        <v>3</v>
      </c>
      <c r="E1" s="33">
        <v>4</v>
      </c>
      <c r="F1" s="33">
        <v>5</v>
      </c>
      <c r="G1" s="33">
        <v>6</v>
      </c>
      <c r="H1" s="33">
        <v>7</v>
      </c>
      <c r="I1" s="33">
        <v>8</v>
      </c>
      <c r="J1" s="33">
        <v>9</v>
      </c>
      <c r="K1" s="33">
        <v>10</v>
      </c>
      <c r="L1" s="33">
        <v>11</v>
      </c>
      <c r="M1" s="33">
        <v>12</v>
      </c>
      <c r="N1" s="33">
        <v>13</v>
      </c>
      <c r="O1" s="33">
        <v>14</v>
      </c>
      <c r="P1" s="33">
        <v>15</v>
      </c>
      <c r="Q1" s="33">
        <v>16</v>
      </c>
      <c r="R1" s="33">
        <v>17</v>
      </c>
      <c r="S1" s="33">
        <v>18</v>
      </c>
      <c r="T1" s="33">
        <v>19</v>
      </c>
      <c r="U1" s="33">
        <v>20</v>
      </c>
    </row>
    <row r="2" spans="1:21" x14ac:dyDescent="0.25">
      <c r="A2" s="33" t="s">
        <v>85</v>
      </c>
      <c r="B2" s="46"/>
      <c r="C2" s="46">
        <v>-0.3</v>
      </c>
      <c r="D2" s="46"/>
      <c r="E2" s="33"/>
      <c r="F2" s="33"/>
      <c r="G2" s="33"/>
      <c r="H2" s="46"/>
      <c r="I2" s="33"/>
      <c r="J2" s="33"/>
      <c r="K2" s="33"/>
      <c r="L2" s="46">
        <v>-0.9</v>
      </c>
      <c r="M2" s="33"/>
      <c r="N2" s="33"/>
      <c r="O2" s="33"/>
      <c r="P2" s="33"/>
      <c r="Q2" s="33"/>
      <c r="R2" s="33"/>
      <c r="S2" s="33"/>
      <c r="T2" s="33"/>
      <c r="U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SIMULATEUR</vt:lpstr>
      <vt:lpstr>Coût impression tirage long</vt:lpstr>
      <vt:lpstr>Simulation évé imprévus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Fanny Valembois</cp:lastModifiedBy>
  <dcterms:created xsi:type="dcterms:W3CDTF">2025-03-31T15:42:03Z</dcterms:created>
  <dcterms:modified xsi:type="dcterms:W3CDTF">2026-06-18T10:12:19Z</dcterms:modified>
</cp:coreProperties>
</file>